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05" firstSheet="136" activeTab="136"/>
  </bookViews>
  <sheets>
    <sheet name="PA_ngăn" sheetId="1" state="hidden" r:id="rId1"/>
    <sheet name="Kangatang" sheetId="2" state="veryHidden" r:id="rId2"/>
    <sheet name="Kangatang_2" sheetId="3" state="veryHidden" r:id="rId3"/>
    <sheet name="Kangatang_3" sheetId="4" state="veryHidden" r:id="rId4"/>
    <sheet name="Kangatang_4" sheetId="5" state="veryHidden" r:id="rId5"/>
    <sheet name="Kangatang_5" sheetId="6" state="veryHidden" r:id="rId6"/>
    <sheet name="Kangatang_6" sheetId="7" state="veryHidden" r:id="rId7"/>
    <sheet name="Kangatang_7" sheetId="8" state="veryHidden" r:id="rId8"/>
    <sheet name="Kangatang_8" sheetId="9" state="veryHidden" r:id="rId9"/>
    <sheet name="Kangatang_9" sheetId="10" state="veryHidden" r:id="rId10"/>
    <sheet name="Kangatang_10" sheetId="11" state="veryHidden" r:id="rId11"/>
    <sheet name="Kangatang_11" sheetId="12" state="veryHidden" r:id="rId12"/>
    <sheet name="Kangatang_12" sheetId="13" state="veryHidden" r:id="rId13"/>
    <sheet name="Kangatang_13" sheetId="14" state="veryHidden" r:id="rId14"/>
    <sheet name="Kangatang_14" sheetId="15" state="veryHidden" r:id="rId15"/>
    <sheet name="Kangatang_15" sheetId="16" state="veryHidden" r:id="rId16"/>
    <sheet name="Kangatang_16" sheetId="17" state="veryHidden" r:id="rId17"/>
    <sheet name="Kangatang_17" sheetId="18" state="veryHidden" r:id="rId18"/>
    <sheet name="Kangatang_18" sheetId="19" state="veryHidden" r:id="rId19"/>
    <sheet name="Kangatang_19" sheetId="20" state="veryHidden" r:id="rId20"/>
    <sheet name="Kangatang_20" sheetId="21" state="veryHidden" r:id="rId21"/>
    <sheet name="Kangatang_21" sheetId="22" state="veryHidden" r:id="rId22"/>
    <sheet name="Kangatang_22" sheetId="23" state="veryHidden" r:id="rId23"/>
    <sheet name="Kangatang_23" sheetId="24" state="veryHidden" r:id="rId24"/>
    <sheet name="Kangatang_24" sheetId="25" state="veryHidden" r:id="rId25"/>
    <sheet name="Kangatang_25" sheetId="26" state="veryHidden" r:id="rId26"/>
    <sheet name="Kangatang_26" sheetId="27" state="veryHidden" r:id="rId27"/>
    <sheet name="Kangatang_27" sheetId="28" state="veryHidden" r:id="rId28"/>
    <sheet name="Kangatang_28" sheetId="29" state="veryHidden" r:id="rId29"/>
    <sheet name="Kangatang_29" sheetId="30" state="veryHidden" r:id="rId30"/>
    <sheet name="Kangatang_30" sheetId="31" state="veryHidden" r:id="rId31"/>
    <sheet name="Kangatang_31" sheetId="32" state="veryHidden" r:id="rId32"/>
    <sheet name="Kangatang_32" sheetId="33" state="veryHidden" r:id="rId33"/>
    <sheet name="Kangatang_33" sheetId="34" state="veryHidden" r:id="rId34"/>
    <sheet name="Kangatang_34" sheetId="35" state="veryHidden" r:id="rId35"/>
    <sheet name="Kangatang_35" sheetId="36" state="veryHidden" r:id="rId36"/>
    <sheet name="Kangatang_36" sheetId="37" state="veryHidden" r:id="rId37"/>
    <sheet name="Kangatang_37" sheetId="38" state="veryHidden" r:id="rId38"/>
    <sheet name="Kangatang_38" sheetId="39" state="veryHidden" r:id="rId39"/>
    <sheet name="Kangatang_39" sheetId="40" state="veryHidden" r:id="rId40"/>
    <sheet name="Kangatang_40" sheetId="41" state="veryHidden" r:id="rId41"/>
    <sheet name="Kangatang_41" sheetId="42" state="veryHidden" r:id="rId42"/>
    <sheet name="Kangatang_42" sheetId="43" state="veryHidden" r:id="rId43"/>
    <sheet name="Kangatang_43" sheetId="44" state="veryHidden" r:id="rId44"/>
    <sheet name="Kangatang_44" sheetId="45" state="veryHidden" r:id="rId45"/>
    <sheet name="Kangatang_45" sheetId="46" state="veryHidden" r:id="rId46"/>
    <sheet name="Kangatang_46" sheetId="47" state="veryHidden" r:id="rId47"/>
    <sheet name="Kangatang_47" sheetId="48" state="veryHidden" r:id="rId48"/>
    <sheet name="Kangatang_48" sheetId="49" state="veryHidden" r:id="rId49"/>
    <sheet name="Kangatang_49" sheetId="50" state="veryHidden" r:id="rId50"/>
    <sheet name="Kangatang_50" sheetId="51" state="veryHidden" r:id="rId51"/>
    <sheet name="Kangatang_51" sheetId="52" state="veryHidden" r:id="rId52"/>
    <sheet name="Kangatang_52" sheetId="53" state="veryHidden" r:id="rId53"/>
    <sheet name="Kangatang_53" sheetId="54" state="veryHidden" r:id="rId54"/>
    <sheet name="Kangatang_54" sheetId="55" state="veryHidden" r:id="rId55"/>
    <sheet name="Kangatang_55" sheetId="56" state="veryHidden" r:id="rId56"/>
    <sheet name="Kangatang_56" sheetId="57" state="veryHidden" r:id="rId57"/>
    <sheet name="Kangatang_57" sheetId="58" state="veryHidden" r:id="rId58"/>
    <sheet name="Kangatang_58" sheetId="59" state="veryHidden" r:id="rId59"/>
    <sheet name="Kangatang_59" sheetId="60" state="veryHidden" r:id="rId60"/>
    <sheet name="Kangatang_60" sheetId="61" state="veryHidden" r:id="rId61"/>
    <sheet name="Kangatang_61" sheetId="62" state="veryHidden" r:id="rId62"/>
    <sheet name="Kangatang_62" sheetId="63" state="veryHidden" r:id="rId63"/>
    <sheet name="Kangatang_63" sheetId="64" state="veryHidden" r:id="rId64"/>
    <sheet name="Kangatang_64" sheetId="65" state="veryHidden" r:id="rId65"/>
    <sheet name="Kangatang_65" sheetId="66" state="veryHidden" r:id="rId66"/>
    <sheet name="Kangatang_66" sheetId="67" state="veryHidden" r:id="rId67"/>
    <sheet name="Kangatang_67" sheetId="68" state="veryHidden" r:id="rId68"/>
    <sheet name="Kangatang_68" sheetId="69" state="veryHidden" r:id="rId69"/>
    <sheet name="Kangatang_69" sheetId="70" state="veryHidden" r:id="rId70"/>
    <sheet name="Kangatang_70" sheetId="71" state="veryHidden" r:id="rId71"/>
    <sheet name="Kangatang_71" sheetId="72" state="veryHidden" r:id="rId72"/>
    <sheet name="Kangatang_72" sheetId="73" state="veryHidden" r:id="rId73"/>
    <sheet name="Kangatang_73" sheetId="74" state="veryHidden" r:id="rId74"/>
    <sheet name="Kangatang_74" sheetId="75" state="veryHidden" r:id="rId75"/>
    <sheet name="Kangatang_75" sheetId="76" state="veryHidden" r:id="rId76"/>
    <sheet name="Kangatang_76" sheetId="77" state="veryHidden" r:id="rId77"/>
    <sheet name="Kangatang_77" sheetId="78" state="veryHidden" r:id="rId78"/>
    <sheet name="Kangatang_78" sheetId="79" state="veryHidden" r:id="rId79"/>
    <sheet name="Kangatang_79" sheetId="80" state="veryHidden" r:id="rId80"/>
    <sheet name="Kangatang_80" sheetId="81" state="veryHidden" r:id="rId81"/>
    <sheet name="Kangatang_81" sheetId="82" state="veryHidden" r:id="rId82"/>
    <sheet name="Kangatang_82" sheetId="83" state="veryHidden" r:id="rId83"/>
    <sheet name="Kangatang_83" sheetId="84" state="veryHidden" r:id="rId84"/>
    <sheet name="Kangatang_84" sheetId="85" state="veryHidden" r:id="rId85"/>
    <sheet name="Kangatang_85" sheetId="86" state="veryHidden" r:id="rId86"/>
    <sheet name="Kangatang_86" sheetId="87" state="veryHidden" r:id="rId87"/>
    <sheet name="Kangatang_87" sheetId="88" state="veryHidden" r:id="rId88"/>
    <sheet name="Kangatang_88" sheetId="89" state="veryHidden" r:id="rId89"/>
    <sheet name="Kangatang_89" sheetId="90" state="veryHidden" r:id="rId90"/>
    <sheet name="Kangatang_90" sheetId="91" state="veryHidden" r:id="rId91"/>
    <sheet name="Kangatang_91" sheetId="92" state="veryHidden" r:id="rId92"/>
    <sheet name="Kangatang_92" sheetId="93" state="veryHidden" r:id="rId93"/>
    <sheet name="Kangatang_93" sheetId="94" state="veryHidden" r:id="rId94"/>
    <sheet name="Kangatang_94" sheetId="95" state="veryHidden" r:id="rId95"/>
    <sheet name="Kangatang_95" sheetId="96" state="veryHidden" r:id="rId96"/>
    <sheet name="Kangatang_96" sheetId="97" state="veryHidden" r:id="rId97"/>
    <sheet name="Kangatang_97" sheetId="98" state="veryHidden" r:id="rId98"/>
    <sheet name="Kangatang_98" sheetId="99" state="veryHidden" r:id="rId99"/>
    <sheet name="Kangatang_99" sheetId="100" state="veryHidden" r:id="rId100"/>
    <sheet name="Kangatang_100" sheetId="101" state="veryHidden" r:id="rId101"/>
    <sheet name="Kangatang_101" sheetId="102" state="veryHidden" r:id="rId102"/>
    <sheet name="Kangatang_102" sheetId="103" state="veryHidden" r:id="rId103"/>
    <sheet name="Kangatang_103" sheetId="104" state="veryHidden" r:id="rId104"/>
    <sheet name="Kangatang_104" sheetId="105" state="veryHidden" r:id="rId105"/>
    <sheet name="Kangatang_105" sheetId="106" state="veryHidden" r:id="rId106"/>
    <sheet name="Kangatang_106" sheetId="107" state="veryHidden" r:id="rId107"/>
    <sheet name="Kangatang_107" sheetId="108" state="veryHidden" r:id="rId108"/>
    <sheet name="Kangatang_108" sheetId="109" state="veryHidden" r:id="rId109"/>
    <sheet name="Kangatang_109" sheetId="110" state="veryHidden" r:id="rId110"/>
    <sheet name="Kangatang_110" sheetId="111" state="veryHidden" r:id="rId111"/>
    <sheet name="Kangatang_111" sheetId="112" state="veryHidden" r:id="rId112"/>
    <sheet name="Kangatang_112" sheetId="113" state="veryHidden" r:id="rId113"/>
    <sheet name="Kangatang_113" sheetId="114" state="veryHidden" r:id="rId114"/>
    <sheet name="Kangatang_114" sheetId="115" state="veryHidden" r:id="rId115"/>
    <sheet name="Kangatang_115" sheetId="116" state="veryHidden" r:id="rId116"/>
    <sheet name="Kangatang_116" sheetId="117" state="veryHidden" r:id="rId117"/>
    <sheet name="Kangatang_117" sheetId="118" state="veryHidden" r:id="rId118"/>
    <sheet name="Kangatang_118" sheetId="119" state="veryHidden" r:id="rId119"/>
    <sheet name="Kangatang_119" sheetId="120" state="veryHidden" r:id="rId120"/>
    <sheet name="Kangatang_120" sheetId="121" state="veryHidden" r:id="rId121"/>
    <sheet name="Kangatang_121" sheetId="122" state="veryHidden" r:id="rId122"/>
    <sheet name="Kangatang_122" sheetId="123" state="veryHidden" r:id="rId123"/>
    <sheet name="Kangatang_123" sheetId="124" state="veryHidden" r:id="rId124"/>
    <sheet name="Kangatang_124" sheetId="125" state="veryHidden" r:id="rId125"/>
    <sheet name="Kangatang_125" sheetId="126" state="veryHidden" r:id="rId126"/>
    <sheet name="Kangatang_126" sheetId="127" state="veryHidden" r:id="rId127"/>
    <sheet name="Kangatang_127" sheetId="128" state="veryHidden" r:id="rId128"/>
    <sheet name="Kangatang_128" sheetId="129" state="veryHidden" r:id="rId129"/>
    <sheet name="Kangatang_129" sheetId="130" state="veryHidden" r:id="rId130"/>
    <sheet name="Kangatang_130" sheetId="131" state="veryHidden" r:id="rId131"/>
    <sheet name="Kangatang_131" sheetId="132" state="veryHidden" r:id="rId132"/>
    <sheet name="Kangatang_132" sheetId="133" state="veryHidden" r:id="rId133"/>
    <sheet name="Kangatang_133" sheetId="134" state="veryHidden" r:id="rId134"/>
    <sheet name="Kangatang_134" sheetId="135" state="veryHidden" r:id="rId135"/>
    <sheet name="XXXXXXXXXXXXX" sheetId="136" state="veryHidden" r:id="rId136"/>
    <sheet name="KHỐI LƯỢNG" sheetId="137" r:id="rId137"/>
    <sheet name="Sheet2" sheetId="138" r:id="rId138"/>
    <sheet name="Sheet3" sheetId="139" r:id="rId139"/>
    <sheet name="BPTC" sheetId="140" state="hidden" r:id="rId140"/>
    <sheet name="HMC" sheetId="141" state="hidden" r:id="rId141"/>
  </sheets>
  <definedNames/>
  <calcPr fullCalcOnLoad="1"/>
</workbook>
</file>

<file path=xl/sharedStrings.xml><?xml version="1.0" encoding="utf-8"?>
<sst xmlns="http://schemas.openxmlformats.org/spreadsheetml/2006/main" count="563" uniqueCount="347">
  <si>
    <t>STT</t>
  </si>
  <si>
    <t>Mã hiệu đơn giá</t>
  </si>
  <si>
    <t>Nội dung công việc</t>
  </si>
  <si>
    <t>ĐVT</t>
  </si>
  <si>
    <t>Số lượng</t>
  </si>
  <si>
    <t>Kích thước</t>
  </si>
  <si>
    <t>Hệ số</t>
  </si>
  <si>
    <t>Khối lượng một bộ phận</t>
  </si>
  <si>
    <t>Khối lượng toàn bộ</t>
  </si>
  <si>
    <t>Ghi chú</t>
  </si>
  <si>
    <t>Dài</t>
  </si>
  <si>
    <t>Rộng</t>
  </si>
  <si>
    <t>Cao</t>
  </si>
  <si>
    <t>tấn</t>
  </si>
  <si>
    <t>GTT</t>
  </si>
  <si>
    <t>M</t>
  </si>
  <si>
    <t>m3</t>
  </si>
  <si>
    <t>100m2</t>
  </si>
  <si>
    <t>AF.61612</t>
  </si>
  <si>
    <t>m2</t>
  </si>
  <si>
    <t>Địa điểm: 284 Cống Quỳnh, Phường Phạm Ngũ Lão, Quận 1</t>
  </si>
  <si>
    <t>I. CÔNG TÁC THÁO DỠ</t>
  </si>
  <si>
    <t>Tháo dỡ cửa đi, cửa sổ</t>
  </si>
  <si>
    <t>AA.31312</t>
  </si>
  <si>
    <t>Phá dỡ tường xây gạch &lt;=11cm</t>
  </si>
  <si>
    <t>SA.11821</t>
  </si>
  <si>
    <t>Cạo bỏ lớp sơn cũ</t>
  </si>
  <si>
    <t>Tháo dỡ trần thạch cao</t>
  </si>
  <si>
    <t>Vận chuyển phế thải từ trên cao xuống</t>
  </si>
  <si>
    <t>SB.94310</t>
  </si>
  <si>
    <t>Bốc xếp phế thải lên xe</t>
  </si>
  <si>
    <t>SB.95110</t>
  </si>
  <si>
    <t>Vận chuyển phế thải trong phạm vi 1000m bằng ô tô 2,5 tấn</t>
  </si>
  <si>
    <t>SB.95410</t>
  </si>
  <si>
    <t>Vận chuyển phế thải tiếp 1000m bằng ô tô 2,5 tấn</t>
  </si>
  <si>
    <t>SB.94321</t>
  </si>
  <si>
    <t>II. CÔNG TÁC XÂY MỚI</t>
  </si>
  <si>
    <t>AA.31311</t>
  </si>
  <si>
    <t>AA.21111</t>
  </si>
  <si>
    <t>AE.63124</t>
  </si>
  <si>
    <t>Trát tường trong chiều dày trát 1,5cm, vữa XM mác 75</t>
  </si>
  <si>
    <t>AK.21224</t>
  </si>
  <si>
    <t>m</t>
  </si>
  <si>
    <t>Vữa tự san phẳng khu vực vinyl</t>
  </si>
  <si>
    <t>Sàn vinyl dày 2mm</t>
  </si>
  <si>
    <t>Đơn giá</t>
  </si>
  <si>
    <t>Thành tiền</t>
  </si>
  <si>
    <t>Nẹp góc</t>
  </si>
  <si>
    <t>Nẹp kết thúc</t>
  </si>
  <si>
    <t>AK.82120</t>
  </si>
  <si>
    <t>AK.82110</t>
  </si>
  <si>
    <t>AK.84412</t>
  </si>
  <si>
    <t>CCLD cửa đi khung nhôm kính</t>
  </si>
  <si>
    <t>CCLD cửa sổ khung nhôm kính</t>
  </si>
  <si>
    <t>CCLD vách khung nhôm kính</t>
  </si>
  <si>
    <t>AF.12513</t>
  </si>
  <si>
    <t>Bê tông đá 1x2 M200 lanh tô, giằng tường</t>
  </si>
  <si>
    <t>AF.81152</t>
  </si>
  <si>
    <t>Ván khuôn đà giằng, lanh tô</t>
  </si>
  <si>
    <t>GCLD cốt thép Ф ≤ 10 - lanh tô, giằng tường ≤ 16m</t>
  </si>
  <si>
    <t>Tổng cộng:</t>
  </si>
  <si>
    <t>Bằng diện tích bả tường</t>
  </si>
  <si>
    <t>Bằng diện tích bả trần</t>
  </si>
  <si>
    <t xml:space="preserve">    - Trừ bệ cửa sổ</t>
  </si>
  <si>
    <t>P.16 :</t>
  </si>
  <si>
    <t xml:space="preserve">    - Vách</t>
  </si>
  <si>
    <t xml:space="preserve">    - Cửa đi</t>
  </si>
  <si>
    <t xml:space="preserve">    - Cửa sổ</t>
  </si>
  <si>
    <t xml:space="preserve">P.15 : </t>
  </si>
  <si>
    <t xml:space="preserve">P.14 : </t>
  </si>
  <si>
    <t>P.13:</t>
  </si>
  <si>
    <t>P.12:</t>
  </si>
  <si>
    <t>P.11:</t>
  </si>
  <si>
    <t xml:space="preserve">P.Pha chế: </t>
  </si>
  <si>
    <t>P.10:</t>
  </si>
  <si>
    <t xml:space="preserve">    - Vách trục 19/B-C</t>
  </si>
  <si>
    <t xml:space="preserve">    - Vách giữa trục 18-19/A-C</t>
  </si>
  <si>
    <t xml:space="preserve">    - Vách trục 20/B-C</t>
  </si>
  <si>
    <t>P.9,8,7,6,5,4:</t>
  </si>
  <si>
    <t>P.3:</t>
  </si>
  <si>
    <t>P. khám nhận, hậu sản, nhân viên:</t>
  </si>
  <si>
    <t>Trục 12-14/B-C</t>
  </si>
  <si>
    <t>Trục 14-19/A-C</t>
  </si>
  <si>
    <t>Trục 19-29/B-C</t>
  </si>
  <si>
    <t>Phòng hậu sản trục 29-30/A-C</t>
  </si>
  <si>
    <t>Phòng khám nhận trục 30-31/A-C</t>
  </si>
  <si>
    <t>Phòng sơ sinh 1 trục 18-19/D-E</t>
  </si>
  <si>
    <t>Phòng thu tiền trục 15-16/D-E</t>
  </si>
  <si>
    <t>Phòng XLDC trục 14-15/D-E</t>
  </si>
  <si>
    <t>Trần hành lang trục 28-29/C-D</t>
  </si>
  <si>
    <t>P.15,16 : 1,25*2,5*2*0,1 = 0,625</t>
  </si>
  <si>
    <t>P.14 : 1,25*4,8*0,1 = 0,6</t>
  </si>
  <si>
    <t>p.13 : 1,9*1,25*0,1 = 0,2375</t>
  </si>
  <si>
    <t>P.12 : 8*1,25*0,1 = 1</t>
  </si>
  <si>
    <t>P.11 : 2,4*1,25*0,1 = 0,3</t>
  </si>
  <si>
    <t>P.pha chế : 1,2*1,25*0,1 = 0,15</t>
  </si>
  <si>
    <t>P.3,4,5,6,7,8,9,10 : 1,25*2,5*0,1*8 = 2,5</t>
  </si>
  <si>
    <t>trục 20,22,24,26 : 6*3,8*0,4*4*,1 = 3,648</t>
  </si>
  <si>
    <t>Đục tường gắn cửa và vách kính dọc hành lang:</t>
  </si>
  <si>
    <t>Của đi : 6*1,4*2,85*0,2 = 4,788</t>
  </si>
  <si>
    <t>Vách kính : 38,8*0,2 = 7,76</t>
  </si>
  <si>
    <t>Xây tường trong nhà gạch ống 8x8x18 chiều dày &lt;= 10 cm h &lt;= 16m vữa mác 75</t>
  </si>
  <si>
    <t>Tường nối dài trục 13/B-C</t>
  </si>
  <si>
    <t>Tường nối dài trục 14/B-C</t>
  </si>
  <si>
    <t>Tường nối dài trục 15/B-C (bít cửa)</t>
  </si>
  <si>
    <t>Tường nối dài trục 16'/B-C (bít cửa)</t>
  </si>
  <si>
    <t>Tường xây mới trục 17/A-C</t>
  </si>
  <si>
    <t>Tường nối dài trục 18/B-C (bít cửa)</t>
  </si>
  <si>
    <t xml:space="preserve">   - Trừ đoạn tường cũ</t>
  </si>
  <si>
    <t xml:space="preserve">Tường nối dài trục 19/B-C </t>
  </si>
  <si>
    <t xml:space="preserve">Tường nối dài trục 21/B-C </t>
  </si>
  <si>
    <t xml:space="preserve">Tường nối dài trục 23/B-C </t>
  </si>
  <si>
    <t xml:space="preserve">Tường nối dài trục 25/B-C </t>
  </si>
  <si>
    <t>Xây bịt cửa hành lang phòng 10 trục C/19-20</t>
  </si>
  <si>
    <t>Bả bằng ma tít tường</t>
  </si>
  <si>
    <t>Bả bằng ma tít trần</t>
  </si>
  <si>
    <t>Sơn phủ sơn nước tường, cột, dầm, trần</t>
  </si>
  <si>
    <t>(KL tường xây/0,08)*2</t>
  </si>
  <si>
    <t>Hành lang trục 12-29/C-D</t>
  </si>
  <si>
    <t>Sàn</t>
  </si>
  <si>
    <t>Cuốn chân</t>
  </si>
  <si>
    <t>Tường vinyl dày 2mm</t>
  </si>
  <si>
    <t>Tường trục 12/B-C</t>
  </si>
  <si>
    <t>Tường trục 13/B-C</t>
  </si>
  <si>
    <t>Tường trục 14/A-B</t>
  </si>
  <si>
    <t>Tường trục 14/B-C</t>
  </si>
  <si>
    <t>Tường trục 15/A-C</t>
  </si>
  <si>
    <t>Tường trục 16'/A-C</t>
  </si>
  <si>
    <t>Tường trục 17/A-C</t>
  </si>
  <si>
    <t>Tường trục 18/A-C</t>
  </si>
  <si>
    <t>Tường nối dài giữa trục 18-19/A-C</t>
  </si>
  <si>
    <t>Tường giữa trục 18-19/A-C</t>
  </si>
  <si>
    <t>Tường trục 19/A-B</t>
  </si>
  <si>
    <t>Tường trục 19/B-C</t>
  </si>
  <si>
    <t xml:space="preserve">Tường trục 21,23,25/B-C </t>
  </si>
  <si>
    <t xml:space="preserve">Tường trục 27/B-C </t>
  </si>
  <si>
    <t>Tường trục A/14-19</t>
  </si>
  <si>
    <t>Tường trục B/12-14</t>
  </si>
  <si>
    <t>Tường trục B/19-27</t>
  </si>
  <si>
    <t xml:space="preserve">   - Trừ cửa sổ</t>
  </si>
  <si>
    <t>Tường trục C/12-27</t>
  </si>
  <si>
    <t>Tường trục C/27-29</t>
  </si>
  <si>
    <t xml:space="preserve">   - Trừ cửa đi</t>
  </si>
  <si>
    <t>Bằng diện tích tháo dỡ</t>
  </si>
  <si>
    <t>CCLD trần thạch cao khung chìm khu vực</t>
  </si>
  <si>
    <t>Lắp đặt nắp thăm trần</t>
  </si>
  <si>
    <t>cái</t>
  </si>
  <si>
    <t>Mỗi phòng 1 cái</t>
  </si>
  <si>
    <t>Cửa D1 hành lang</t>
  </si>
  <si>
    <t>D2 cửa phòng</t>
  </si>
  <si>
    <t xml:space="preserve">    - Trừ cửa đi</t>
  </si>
  <si>
    <t>S1 trục A</t>
  </si>
  <si>
    <t>VK phòng trục 29-39/A-C</t>
  </si>
  <si>
    <t>VK phòng trục 27-29/A-C</t>
  </si>
  <si>
    <t>VK hành lang trục C</t>
  </si>
  <si>
    <t>Bằng KL cạo bỏ</t>
  </si>
  <si>
    <t>Bằng KL trần thạch cao chìm</t>
  </si>
  <si>
    <t>Lanh tô hành lang trục C</t>
  </si>
  <si>
    <t>Chi phí khác</t>
  </si>
  <si>
    <t>Dự phòng phí</t>
  </si>
  <si>
    <t>Tổng dự toán</t>
  </si>
  <si>
    <t>Tủ +bồn</t>
  </si>
  <si>
    <t>III. HỆ THỐNG ĐIỆN CHIẾU SÁNG</t>
  </si>
  <si>
    <t>IV. HỆ THỐNG NƯỚC RỬA TAY</t>
  </si>
  <si>
    <t>Công trình: CẢI TẠO KHOA SINH KHU A BỆNH VIỆN TỪ DŨ</t>
  </si>
  <si>
    <t>BẢNG KHÁI TOÁN</t>
  </si>
  <si>
    <t xml:space="preserve">VK ngăn phòng trục 21,23,25/B-C </t>
  </si>
  <si>
    <t>VK phòng cách ly trục 18-19/A-C</t>
  </si>
  <si>
    <t>Nguồn nước đã được xử lý</t>
  </si>
  <si>
    <t>V. HỆ THỐNG BÁO CHÁY + CHỮA CHÁY</t>
  </si>
  <si>
    <t>CCLD trần thạch cao khung nổi</t>
  </si>
  <si>
    <t>Cung cấp lắp đặt tường panel trong nhà</t>
  </si>
  <si>
    <t>CCLD cửa đi trượt tự động</t>
  </si>
  <si>
    <t>Bộ khóa vân tay, mã số</t>
  </si>
  <si>
    <t>CCLD cửa đi khung nhôm kính hành lang</t>
  </si>
  <si>
    <t>CCLD trần panel kháng khuẩn</t>
  </si>
  <si>
    <t>Đèn led panel khung 600x600, 80w, 3400lm, ánh sáng trắng lắp đặt âm trần, IP30</t>
  </si>
  <si>
    <t>Bộ</t>
  </si>
  <si>
    <t>Đèn LED tube 1.2m gắn nổi trên trần 1x40W</t>
  </si>
  <si>
    <t>Công tắc đơn một chiều 10A</t>
  </si>
  <si>
    <t>Ổ cắm đôi có cực nối đất 16A</t>
  </si>
  <si>
    <t>Vật tư phụ (Kẹp, băng keo, tắc kê, vít)</t>
  </si>
  <si>
    <t>lô</t>
  </si>
  <si>
    <t>100m</t>
  </si>
  <si>
    <t>CCLD bộ xả bồn rửa</t>
  </si>
  <si>
    <t>Van nhựa D27</t>
  </si>
  <si>
    <t>CCLD bồn inox rửa tay có tủ che</t>
  </si>
  <si>
    <t>CCLD vòi rửa lạnh</t>
  </si>
  <si>
    <t>Ống mềm gắn đầu phun chữa cháy</t>
  </si>
  <si>
    <t>mét</t>
  </si>
  <si>
    <t>bộ</t>
  </si>
  <si>
    <t>hộp</t>
  </si>
  <si>
    <t>HỆ THỐNG BÁO CHÁY TỰ ĐỘNG HỆ ĐỊA CHỈ</t>
  </si>
  <si>
    <t>II</t>
  </si>
  <si>
    <t xml:space="preserve">Đầu báo khói thường </t>
  </si>
  <si>
    <t xml:space="preserve">Đầu báo khói địa chỉ </t>
  </si>
  <si>
    <t xml:space="preserve">Nút nhấn khẩn địa chỉ </t>
  </si>
  <si>
    <t xml:space="preserve">Chuông báo cháy </t>
  </si>
  <si>
    <t xml:space="preserve">Modul giám sát đầu báo </t>
  </si>
  <si>
    <t>Modul giám sát chuông</t>
  </si>
  <si>
    <t>RCCB 0.03/20A, 6KVA</t>
  </si>
  <si>
    <t>Ổ cắm đôi có cực nối đất 16A, âm sàn</t>
  </si>
  <si>
    <t>Tủ điện nổi 24 module</t>
  </si>
  <si>
    <t>Cái</t>
  </si>
  <si>
    <t>Cung cấp lắp đặt vách khung nhôm 75, tấm cemboard dày 9mm 2 mặt (bao gồm bả matit + sơn nước hoàn thiện)</t>
  </si>
  <si>
    <t>I. CÔNG TÁC LD TRẦN, VÁCH, NỀN, CỬA</t>
  </si>
  <si>
    <t>II. HỆ THỐNG ĐIỆN CHIẾU SÁNG</t>
  </si>
  <si>
    <t>III. HỆ THỐNG NƯỚC RỬA TAY</t>
  </si>
  <si>
    <t>Ống uPVC D27 (bao gồm co, cút)</t>
  </si>
  <si>
    <t>Ống uPVC D42 (bao gồm co, cút)</t>
  </si>
  <si>
    <t>CCLD vinyl sàn dày 2mm (bao gồm vữa tự san phẳng và nẹp góc, nẹp kết thúc)</t>
  </si>
  <si>
    <t>CCLD vinyl tường dày 1,5mm (bao gồm nẹp đứng các góc)</t>
  </si>
  <si>
    <t>CCLD trần thạch cao khung chìm (bao gồm bả matit + sơn epoxy hoàn thiện, nắp thăm trần)</t>
  </si>
  <si>
    <t>Dây CV 2.5mm² (bao gồm ống bảo vệ, hộp nối dây)</t>
  </si>
  <si>
    <t>Dây CV 1.5mm² (bao gồm ống bảo vệ, hộp nối dây)</t>
  </si>
  <si>
    <t>Dây CV 4.0mm² (bao gồm ống bảo vệ, hộp nối dây)</t>
  </si>
  <si>
    <t>Dây CV 6.0mm² (bao gồm ống bảo vệ, hộp nối dây)</t>
  </si>
  <si>
    <t>Bộ</t>
  </si>
  <si>
    <t>Ống nước xả Þ27 dày 1.9mm</t>
  </si>
  <si>
    <t>Ống nước xả Þ34 dày 2.2mm</t>
  </si>
  <si>
    <t>Ống nước xả Þ60 dày 2.5mm</t>
  </si>
  <si>
    <t>Cách nhiệt ống nước xả Þ27 dày 13mm</t>
  </si>
  <si>
    <t>Cách nhiệt ống nước xả Þ34 dày 13mm</t>
  </si>
  <si>
    <t>Cách nhiệt ống nước xả Þ60 dày 13mm</t>
  </si>
  <si>
    <t>Cách nhiệt ống gió dày 20mm</t>
  </si>
  <si>
    <t>Cách nhiệt ống gió dày 10mm</t>
  </si>
  <si>
    <t>Ống sắt tráng kẽm DN125 - 4.0mm (bao gồm vật tư phụ treo ống...)</t>
  </si>
  <si>
    <t>Ống sắt tráng kẽm DN100 - 3.6mm (bao gồm vật tư phụ treo ống...)</t>
  </si>
  <si>
    <t>Ống sắt tráng kẽm DN80 - 3.6mm (bao gồm vật tư phụ treo ống...)</t>
  </si>
  <si>
    <t>Ống sắt tráng kẽm DN65 - 3.2mm (bao gồm vật tư phụ treo ống…)</t>
  </si>
  <si>
    <t>Ống sắt tráng kẽm DN50 - 2.9mm (bao gồm vật tư phụ treo ống…)</t>
  </si>
  <si>
    <t>Ống sắt tráng kẽm DN40 - 2.6mm (bao gồm vật tư phụ treo ống…)</t>
  </si>
  <si>
    <t>Ống sắt tráng kẽm DN25 - 2.6mm (bao gồm vật tư phụ treo ống…)</t>
  </si>
  <si>
    <t>Van bướm DN100</t>
  </si>
  <si>
    <t>Van bướm DN50</t>
  </si>
  <si>
    <t>Van khóa DN25</t>
  </si>
  <si>
    <t>Van xả khí DN25</t>
  </si>
  <si>
    <t>Đồng hồ áp lực</t>
  </si>
  <si>
    <t>Công tắc áp suất</t>
  </si>
  <si>
    <t xml:space="preserve">Chụp đầu phun Inox </t>
  </si>
  <si>
    <t>Đầu phun Sprinkler</t>
  </si>
  <si>
    <t>Hộp chữa cháy trong nhà KT 400x600x200</t>
  </si>
  <si>
    <t>Van góc chữa cháy DN50</t>
  </si>
  <si>
    <t>Cáp tín hiệu chống cháy 1x1.5mm2 (bao gồm ống điện PVCD20 và phụ kiện)</t>
  </si>
  <si>
    <t>Cáp nguồn chống cháy 1x1.5mm2 (bao gồm ống điện PVCD20 và phụ kiện)</t>
  </si>
  <si>
    <t>Đèn chiếu sáng sự cố</t>
  </si>
  <si>
    <t>Đèn chỉ dẫn thoát hiểm</t>
  </si>
  <si>
    <t>Dây nguồn cấp đèn 2x1.5mm2 (bao gồm ống điện PVCD20 và vật tư phụ)</t>
  </si>
  <si>
    <t xml:space="preserve">ĐƠN VỊ </t>
  </si>
  <si>
    <t>KHỐI LƯỢNG</t>
  </si>
  <si>
    <t>NỘI DUNG</t>
  </si>
  <si>
    <t>BẢNG TỔNG HỢP KHỐI LƯỢNG</t>
  </si>
  <si>
    <t>HẠNG MỤC: XÂY LẮP (KHU VỰC CẢI TẠO TẦNG 1)</t>
  </si>
  <si>
    <t>A. PHẦN THIẾT BỊ KHU A BV TỪ DŨ</t>
  </si>
  <si>
    <t>HẠNG MỤC: HỆ THỐNG LẠNH, KHÍ SẠCH VÀ THÔNG GIÓ</t>
  </si>
  <si>
    <t>HẠNG MỤC: HỆ THỐNG PCCC</t>
  </si>
  <si>
    <t>III. HỆ THỐNG ĐÈN CHIẾU SÁNG SỰ CỐ, ĐÈN EXIT</t>
  </si>
  <si>
    <t>I. HỆ THỐNG CHỮA CHÁY TỰ ĐỘNG SPRINKLER, CHỮA CHÁY CẤP NƯỚC VÁCH TƯỜNG</t>
  </si>
  <si>
    <t>BỘ PHẬN YÊU CẦU</t>
  </si>
  <si>
    <t>Bộ kết nối dàn nóng và phụ kiện</t>
  </si>
  <si>
    <t>I</t>
  </si>
  <si>
    <t>MÁY LẠNH TRUNG TÂM LOẠI VRV</t>
  </si>
  <si>
    <t xml:space="preserve">HỆ THỐNG LẠNH NICU 1 </t>
  </si>
  <si>
    <t>Bộ lọc H13 KT: 915x610x149mm</t>
  </si>
  <si>
    <t>Bộ lọc F8 KT: 592x592x380mm</t>
  </si>
  <si>
    <t>Bộ lọc G4 KT: 600x600x46mm</t>
  </si>
  <si>
    <t>Miệng gió cấp inox soi lỗ cho phòng sạch SAG 1000x600</t>
  </si>
  <si>
    <t>Miệng gió hồi inox soi lỗ cho phòng sạch RAG 600x600 + lọc G4</t>
  </si>
  <si>
    <t>Quạt tăng áp 550l/s@450Pa</t>
  </si>
  <si>
    <t>Hộp tiêu âm quạt</t>
  </si>
  <si>
    <t xml:space="preserve">Các VCD điều chỉnh áp suất </t>
  </si>
  <si>
    <t xml:space="preserve">Đồng hồ hiển thị áp suất phòng </t>
  </si>
  <si>
    <t>Ống gió hộp cấp cho phòng sạch bằng tole tráng kẽm dày 0.75mm</t>
  </si>
  <si>
    <t>Phụ kiện</t>
  </si>
  <si>
    <t>III</t>
  </si>
  <si>
    <t xml:space="preserve">HỆ THỐNG LẠNH CÁC PHÒNG CHỨC NĂNG </t>
  </si>
  <si>
    <t xml:space="preserve">Bộ chia gas dàn lạnh </t>
  </si>
  <si>
    <t>Remote có dây</t>
  </si>
  <si>
    <t xml:space="preserve">Bộ điều khiển trung tâm </t>
  </si>
  <si>
    <t>IV</t>
  </si>
  <si>
    <t xml:space="preserve">HỆ THỐNG CẤP GIÓ SẠCH VÀ HÚT GIÓ THẢI </t>
  </si>
  <si>
    <t>Quạt gió tươi Lưu lượng : 565l/s @350Pa</t>
  </si>
  <si>
    <t>Quạt gió tươi Lưu lượng : 550l/s @300Pa</t>
  </si>
  <si>
    <t>Quạt gió thải 5000m3/h 300Pa</t>
  </si>
  <si>
    <t>Hộp lọc</t>
  </si>
  <si>
    <t>Louver 1000x400 + LCCT</t>
  </si>
  <si>
    <t>Miệng gió thải 300x300 + OBD</t>
  </si>
  <si>
    <t>Miệng gió thải 600x600 + OBD</t>
  </si>
  <si>
    <t>Miệng gió tươi 600x600</t>
  </si>
  <si>
    <t xml:space="preserve">VCD gió tươi </t>
  </si>
  <si>
    <t xml:space="preserve">Tủ điện điều khiển </t>
  </si>
  <si>
    <t>Ống gió bằng tole tráng kẽm dày 0.75mm</t>
  </si>
  <si>
    <t>Ống gió bằng tole tráng kẽm dày 0.58mm</t>
  </si>
  <si>
    <t>Phụ kiện lắp đặt và treo đỡ</t>
  </si>
  <si>
    <t>V</t>
  </si>
  <si>
    <t>ỐNG ĐỒNG VÀ NƯỚC NGƯNG</t>
  </si>
  <si>
    <t>V.1</t>
  </si>
  <si>
    <t xml:space="preserve">Ống đồng và cách nhiệt ống đồng </t>
  </si>
  <si>
    <t>Ống đồng D6,32 - Dày 0.81mm</t>
  </si>
  <si>
    <t>Ống đồng D9,53 - Dày 0.81mm</t>
  </si>
  <si>
    <t>Ống đồng D12,7 - Dày 0.81mm</t>
  </si>
  <si>
    <t>Ống đồng D15,88 - Dày 1.02mm</t>
  </si>
  <si>
    <t>Ống đồng D19,05 - Dày 1.02mm</t>
  </si>
  <si>
    <t>Ống đồng D22,22 - Dày 1.02mm</t>
  </si>
  <si>
    <t>Ống đồng D28,58 - Dày 1.02mm</t>
  </si>
  <si>
    <t>Ống đồng D34,92 - Dày 1.2mm</t>
  </si>
  <si>
    <t>Ống đồng D41,28 - Dày 1.2mm</t>
  </si>
  <si>
    <t>Cách nhiệt ống đồng D6,32 - Dày 19mm</t>
  </si>
  <si>
    <t>Cách nhiệt ống đồng D9,53 - Dày 19mm</t>
  </si>
  <si>
    <t>Cách nhiệt ống đồng D12,7 - Dày 19mm</t>
  </si>
  <si>
    <t>Cách nhiệt ống đồng D15,88 - Dày 19mm</t>
  </si>
  <si>
    <t>Cách nhiệt ống đồng D19,05 - Dày 19mm</t>
  </si>
  <si>
    <t>Cách nhiệt ống đồng D22,22 - Dày 19mm</t>
  </si>
  <si>
    <t>Cách nhiệt ống đồng D28,58 - Dày 19mm</t>
  </si>
  <si>
    <t>Cách nhiệt ống đồng D34,92 - Dày 19mm</t>
  </si>
  <si>
    <t>Cách nhiệt ống đồng D41,28 - Dày 19mm</t>
  </si>
  <si>
    <t>Gas R410a nạp bổ sung</t>
  </si>
  <si>
    <t>V.2</t>
  </si>
  <si>
    <t xml:space="preserve">Nước ngưng và cách nhiệt ống nước ngưng  </t>
  </si>
  <si>
    <t>Ống nước xả Þ42 dày 2.2mm</t>
  </si>
  <si>
    <t>Cách nhiệt ống nước xả Þ42 dày 13mm</t>
  </si>
  <si>
    <t>VI</t>
  </si>
  <si>
    <t>Tủ điện động lực</t>
  </si>
  <si>
    <t>Vỏ tủ 800x600x350x2.0mm sơn tĩnh điện kèm phụ kiện</t>
  </si>
  <si>
    <t>MCCB 3P 200A 25KA</t>
  </si>
  <si>
    <t>MCCB 3P 40A 25KA</t>
  </si>
  <si>
    <t xml:space="preserve">MCB 1P-10A-6KA </t>
  </si>
  <si>
    <t>VII</t>
  </si>
  <si>
    <t>Dây điện động lực và điều khiển</t>
  </si>
  <si>
    <t>Dây điện CVV 3x1Cx35 + 2x1Cx35mm2 (N,E)</t>
  </si>
  <si>
    <t>Dây điện CVV 4x35mm2 + E10mm2 (bao gồm: Ống PVC D20, Co, tê, hộp box, ngã ba, ngã tư, nối, ốc, vit, băng keo, móc, kẹp ống, dây rút,…)</t>
  </si>
  <si>
    <t>Dây điện CXV 3x2.5mm2 (bao gồm: Ống PVC D20, Co, tê, hộp box, ngã ba, ngã tư, nối, ốc, vit, băng keo, móc, kẹp ống, dây rút,…)</t>
  </si>
  <si>
    <t>Dây điều khiển 2x1.5mm2 (chống nhiễu) (bao gồm: Ống PVC D20, Co, tê, hộp box, ngã ba, ngã tư, nối, ốc, vit, băng keo, móc, kẹp ống, dây rút,…)</t>
  </si>
  <si>
    <t>Ống điện D20</t>
  </si>
  <si>
    <t>Ống điện D16</t>
  </si>
  <si>
    <t xml:space="preserve">Trunking điện 50x50x1mm sơn tĩnh điện kèm phụ kiện </t>
  </si>
  <si>
    <t>Hệ</t>
  </si>
  <si>
    <t>Chai</t>
  </si>
  <si>
    <t>Bộ điều khiển cửa tự động (bao gồm phụ kiện)</t>
  </si>
  <si>
    <t>Cụm VRV trung tâm công suất 38HP
Bao gồm: RXQ20AYM và RXQ18AYM (Bao gồm chi phí nâng hạ thiết bị, chi phí kiểm định an toàn thiết bị áp lực, chi phí bảo trì trong thời gian bảo hành ….)</t>
  </si>
  <si>
    <t>Cụm VRV trung tâm công suất 40HP
Bao gồm: RXQ20AYM (2 cụm) 
(Bao gồm chi phí nâng hạ thiết bị, chi phí kiểm định an toàn thiết bị áp lực, chi phí bảo trì trong thời gian bảo hành ….)</t>
  </si>
  <si>
    <t>Dàn lạnh loại âm trần nối ông gió FXSQ125PAVE9, công suất lạnh 14.0kW kết nối vào cụm VRV (Thiết bị cấp cho phòng sạch bao gồm các chi phí kiểm định phòng sạch, chi phí cân chỉnh thông số kỹ thuật phòng sạch, bảo trì trong thời gian bảo hành …)</t>
  </si>
  <si>
    <t>Tủ điện điều khiển 600x400x210mm và hệ thống điều khiển và tách ẩm (Bao gồm chi thiết bị đóng cắt MCCB, MCB, khởi động từ, bộ điện trở, phím chống cháy, thiết bị bảo vệ quá nhiệt, tiết bị bảo vệ mất gió, bộ điều khiển nhiệt độ &amp; độ ẩm)</t>
  </si>
  <si>
    <t>Phòng kho thuốc, vật tư tiêu hao : Dàn lạnh treo tường FXAQ32AVM, công suất lạnh 3,6kW kết nối vào cụm VRV (Bao gồm chi phí kiểm định an toàn thiết bị áp lực, chi phí bảo trì trong thời gian bảo hành ….)</t>
  </si>
  <si>
    <t>Dàn lạnh Cassette FXFQ100AVM, công suất lạnh 11,2kW kết nối vào cụm VRV (Bao gồm chi phí kiểm định an toàn thiết bị áp lực, chi phí bảo trì trong thời gian bảo hành ….)</t>
  </si>
  <si>
    <t>Dàn lạnh Cassette FXFQ80AVM, công suất lạnh 9,0kW kết nối vào cụm VRV (Bao gồm chi phí kiểm định an toàn thiết bị áp lực, chi phí bảo trì trong thời gian bảo hành ….)</t>
  </si>
  <si>
    <t>Dàn lạnh Cassette FXFQ63AVM, công suất lạnh 7,1kW kết nối vào cụm VRV (Bao gồm chi phí kiểm định an toàn thiết bị áp lực, chi phí bảo trì trong thời gian bảo hành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</si>
</sst>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_-* #,##0.00_-;\-* #,##0.00_-;_-* &quot;-&quot;??_-;_-@_-"/>
    <numFmt numFmtId="166" formatCode="\$#,##0\ ;\(\$#,##0\)"/>
    <numFmt numFmtId="167" formatCode="&quot;\&quot;#,##0;[Red]&quot;\&quot;&quot;\&quot;\-#,##0"/>
    <numFmt numFmtId="168" formatCode="&quot;\&quot;#,##0.00;[Red]&quot;\&quot;&quot;\&quot;&quot;\&quot;&quot;\&quot;&quot;\&quot;&quot;\&quot;\-#,##0.00"/>
    <numFmt numFmtId="169" formatCode="&quot;\&quot;#,##0.00;[Red]&quot;\&quot;\-#,##0.00"/>
    <numFmt numFmtId="170" formatCode="&quot;\&quot;#,##0;[Red]&quot;\&quot;\-#,##0"/>
  </numFmts>
  <fonts count="55">
    <font>
      <sz val="11"/>
      <color theme="1"/>
      <name val="Calibri"/>
      <family val="2"/>
    </font>
    <font>
      <sz val="11"/>
      <color indexed="8"/>
      <name val="Times New Roman"/>
      <family val="2"/>
    </font>
    <font>
      <sz val="8"/>
      <name val="Calibri"/>
      <family val="2"/>
    </font>
    <font>
      <sz val="11"/>
      <name val="Times New Roman"/>
      <family val="1"/>
    </font>
    <font>
      <sz val="10"/>
      <name val="Arial"/>
      <family val="2"/>
    </font>
    <font>
      <sz val="11"/>
      <name val="VNI-Avo"/>
      <family val="0"/>
    </font>
    <font>
      <sz val="10"/>
      <name val="MS Sans Serif"/>
      <family val="2"/>
    </font>
    <font>
      <b/>
      <sz val="12"/>
      <name val="Times New Roman"/>
      <family val="1"/>
    </font>
    <font>
      <sz val="12"/>
      <name val="Times New Roman"/>
      <family val="1"/>
    </font>
    <font>
      <b/>
      <sz val="16"/>
      <name val="Times New Roman"/>
      <family val="1"/>
    </font>
    <font>
      <u val="single"/>
      <sz val="10"/>
      <color indexed="36"/>
      <name val="VNI-Times"/>
      <family val="0"/>
    </font>
    <font>
      <u val="single"/>
      <sz val="10"/>
      <color indexed="12"/>
      <name val="VNI-Times"/>
      <family val="0"/>
    </font>
    <font>
      <b/>
      <sz val="11"/>
      <name val="Times New Roman"/>
      <family val="1"/>
    </font>
    <font>
      <sz val="11"/>
      <color indexed="8"/>
      <name val="Calibri"/>
      <family val="2"/>
    </font>
    <font>
      <b/>
      <sz val="11"/>
      <color indexed="8"/>
      <name val="Times New Roman"/>
      <family val="1"/>
    </font>
    <font>
      <u val="single"/>
      <sz val="11"/>
      <color indexed="8"/>
      <name val="Times New Roman"/>
      <family val="1"/>
    </font>
    <font>
      <sz val="12"/>
      <color indexed="8"/>
      <name val="Times New Roman"/>
      <family val="1"/>
    </font>
    <font>
      <b/>
      <sz val="14"/>
      <color indexed="8"/>
      <name val="Times New Roman"/>
      <family val="1"/>
    </font>
    <font>
      <b/>
      <sz val="12"/>
      <color indexed="8"/>
      <name val="Times New Roman"/>
      <family val="1"/>
    </font>
    <font>
      <b/>
      <sz val="18"/>
      <color indexed="54"/>
      <name val="Calibri Light"/>
      <family val="2"/>
    </font>
    <font>
      <b/>
      <sz val="15"/>
      <color indexed="54"/>
      <name val="Times New Roman"/>
      <family val="2"/>
    </font>
    <font>
      <b/>
      <sz val="13"/>
      <color indexed="54"/>
      <name val="Times New Roman"/>
      <family val="2"/>
    </font>
    <font>
      <b/>
      <sz val="11"/>
      <color indexed="54"/>
      <name val="Times New Roman"/>
      <family val="2"/>
    </font>
    <font>
      <sz val="11"/>
      <color indexed="17"/>
      <name val="Times New Roman"/>
      <family val="2"/>
    </font>
    <font>
      <sz val="11"/>
      <color indexed="20"/>
      <name val="Times New Roman"/>
      <family val="2"/>
    </font>
    <font>
      <sz val="11"/>
      <color indexed="60"/>
      <name val="Times New Roman"/>
      <family val="2"/>
    </font>
    <font>
      <sz val="11"/>
      <color indexed="62"/>
      <name val="Times New Roman"/>
      <family val="2"/>
    </font>
    <font>
      <b/>
      <sz val="11"/>
      <color indexed="63"/>
      <name val="Times New Roman"/>
      <family val="2"/>
    </font>
    <font>
      <b/>
      <sz val="11"/>
      <color indexed="52"/>
      <name val="Times New Roman"/>
      <family val="2"/>
    </font>
    <font>
      <sz val="11"/>
      <color indexed="52"/>
      <name val="Times New Roman"/>
      <family val="2"/>
    </font>
    <font>
      <b/>
      <sz val="11"/>
      <color indexed="9"/>
      <name val="Times New Roman"/>
      <family val="2"/>
    </font>
    <font>
      <sz val="11"/>
      <color indexed="10"/>
      <name val="Times New Roman"/>
      <family val="2"/>
    </font>
    <font>
      <i/>
      <sz val="11"/>
      <color indexed="23"/>
      <name val="Times New Roman"/>
      <family val="2"/>
    </font>
    <font>
      <sz val="11"/>
      <color indexed="9"/>
      <name val="Times New Roman"/>
      <family val="2"/>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Calibri Light"/>
      <family val="2"/>
    </font>
    <font>
      <b/>
      <sz val="11"/>
      <color theme="1"/>
      <name val="Times New Roman"/>
      <family val="2"/>
    </font>
    <font>
      <sz val="11"/>
      <color rgb="FFFF0000"/>
      <name val="Times New Roman"/>
      <family val="2"/>
    </font>
    <font>
      <u val="single"/>
      <sz val="11"/>
      <color theme="1"/>
      <name val="Times New Roman"/>
      <family val="1"/>
    </font>
    <font>
      <sz val="12"/>
      <color theme="1"/>
      <name val="Times New Roman"/>
      <family val="1"/>
    </font>
    <font>
      <b/>
      <sz val="14"/>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border>
    <border>
      <left style="thin"/>
      <right style="thin"/>
      <top style="hair"/>
      <bottom/>
    </border>
    <border>
      <left style="thin"/>
      <right style="medium"/>
      <top style="hair"/>
      <bottom/>
    </border>
    <border>
      <left style="thin"/>
      <right/>
      <top style="hair"/>
      <bottom style="hair"/>
    </border>
    <border>
      <left style="thin"/>
      <right/>
      <top style="hair"/>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style="thin"/>
      <top style="thin"/>
      <bottom style="thin"/>
    </border>
    <border>
      <left/>
      <right/>
      <top/>
      <bottom style="thin"/>
    </border>
    <border>
      <left style="thin"/>
      <right style="thin"/>
      <top style="thin"/>
      <bottom style="hair"/>
    </border>
    <border>
      <left style="thin"/>
      <right style="thin"/>
      <top style="medium"/>
      <bottom style="thin"/>
    </border>
    <border>
      <left style="thin"/>
      <right style="medium"/>
      <top style="medium"/>
      <bottom/>
    </border>
    <border>
      <left style="thin"/>
      <right style="medium"/>
      <top/>
      <bottom style="medium"/>
    </border>
    <border>
      <left style="medium"/>
      <right style="thin"/>
      <top style="medium"/>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1"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4" fillId="0" borderId="0">
      <alignment/>
      <protection/>
    </xf>
    <xf numFmtId="0" fontId="5"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6"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22">
    <xf numFmtId="0" fontId="0" fillId="0" borderId="0" xfId="0" applyFont="1" applyAlignment="1">
      <alignment/>
    </xf>
    <xf numFmtId="0" fontId="34" fillId="0" borderId="0" xfId="0" applyFont="1" applyAlignment="1">
      <alignment/>
    </xf>
    <xf numFmtId="0" fontId="34" fillId="0" borderId="0" xfId="0" applyFont="1" applyAlignment="1">
      <alignment vertical="top"/>
    </xf>
    <xf numFmtId="0" fontId="34" fillId="0" borderId="10" xfId="0" applyFont="1" applyBorder="1" applyAlignment="1">
      <alignment horizontal="center" vertical="center"/>
    </xf>
    <xf numFmtId="0" fontId="34" fillId="0" borderId="11" xfId="0" applyFont="1" applyBorder="1" applyAlignment="1">
      <alignment vertical="top"/>
    </xf>
    <xf numFmtId="0" fontId="34" fillId="0" borderId="12" xfId="0" applyFont="1" applyBorder="1" applyAlignment="1">
      <alignment vertical="top"/>
    </xf>
    <xf numFmtId="0" fontId="34" fillId="0" borderId="13" xfId="0" applyFont="1" applyBorder="1" applyAlignment="1">
      <alignment vertical="top"/>
    </xf>
    <xf numFmtId="0" fontId="34" fillId="0" borderId="12" xfId="0" applyFont="1" applyBorder="1" applyAlignment="1">
      <alignment vertical="top" wrapText="1"/>
    </xf>
    <xf numFmtId="0" fontId="34" fillId="0" borderId="14" xfId="0" applyFont="1" applyBorder="1" applyAlignment="1">
      <alignment vertical="top"/>
    </xf>
    <xf numFmtId="0" fontId="34" fillId="0" borderId="15" xfId="0" applyFont="1" applyBorder="1" applyAlignment="1">
      <alignment vertical="top"/>
    </xf>
    <xf numFmtId="0" fontId="34" fillId="0" borderId="16" xfId="0" applyFont="1" applyBorder="1" applyAlignment="1">
      <alignment vertical="top"/>
    </xf>
    <xf numFmtId="0" fontId="34" fillId="0" borderId="15" xfId="0" applyFont="1" applyBorder="1" applyAlignment="1">
      <alignment vertical="top" wrapText="1"/>
    </xf>
    <xf numFmtId="0" fontId="49" fillId="0" borderId="15" xfId="0" applyFont="1" applyBorder="1" applyAlignment="1">
      <alignment vertical="top" wrapText="1"/>
    </xf>
    <xf numFmtId="0" fontId="49" fillId="0" borderId="12" xfId="0" applyFont="1" applyBorder="1" applyAlignment="1">
      <alignment vertical="top"/>
    </xf>
    <xf numFmtId="0" fontId="49" fillId="0" borderId="15" xfId="0" applyFont="1" applyBorder="1" applyAlignment="1">
      <alignment vertical="top"/>
    </xf>
    <xf numFmtId="0" fontId="49" fillId="0" borderId="11" xfId="0" applyFont="1" applyBorder="1" applyAlignment="1">
      <alignment horizontal="center" vertical="top"/>
    </xf>
    <xf numFmtId="0" fontId="51" fillId="0" borderId="12" xfId="0" applyFont="1" applyBorder="1" applyAlignment="1">
      <alignment vertical="top" wrapText="1"/>
    </xf>
    <xf numFmtId="3" fontId="34" fillId="0" borderId="0" xfId="0" applyNumberFormat="1" applyFont="1" applyAlignment="1">
      <alignment/>
    </xf>
    <xf numFmtId="3" fontId="34" fillId="0" borderId="17" xfId="0" applyNumberFormat="1" applyFont="1" applyBorder="1" applyAlignment="1">
      <alignment vertical="top"/>
    </xf>
    <xf numFmtId="3" fontId="34" fillId="0" borderId="18" xfId="0" applyNumberFormat="1" applyFont="1" applyBorder="1" applyAlignment="1">
      <alignment vertical="top"/>
    </xf>
    <xf numFmtId="3" fontId="34" fillId="0" borderId="0" xfId="0" applyNumberFormat="1" applyFont="1" applyAlignment="1">
      <alignment vertical="top"/>
    </xf>
    <xf numFmtId="0" fontId="34" fillId="0" borderId="19" xfId="0" applyFont="1" applyBorder="1" applyAlignment="1">
      <alignment vertical="top"/>
    </xf>
    <xf numFmtId="0" fontId="34" fillId="0" borderId="20" xfId="0" applyFont="1" applyBorder="1" applyAlignment="1">
      <alignment vertical="top"/>
    </xf>
    <xf numFmtId="3" fontId="34" fillId="0" borderId="21" xfId="0" applyNumberFormat="1" applyFont="1" applyBorder="1" applyAlignment="1">
      <alignment vertical="top"/>
    </xf>
    <xf numFmtId="0" fontId="34" fillId="0" borderId="22" xfId="0" applyFont="1" applyBorder="1" applyAlignment="1">
      <alignment vertical="top"/>
    </xf>
    <xf numFmtId="0" fontId="49" fillId="0" borderId="20" xfId="0" applyFont="1" applyBorder="1" applyAlignment="1">
      <alignment vertical="top"/>
    </xf>
    <xf numFmtId="0" fontId="3" fillId="0" borderId="12" xfId="0" applyFont="1" applyBorder="1" applyAlignment="1">
      <alignment vertical="top"/>
    </xf>
    <xf numFmtId="0" fontId="3" fillId="0" borderId="12" xfId="0" applyFont="1" applyBorder="1" applyAlignment="1">
      <alignment vertical="top" wrapText="1"/>
    </xf>
    <xf numFmtId="3" fontId="49" fillId="0" borderId="17" xfId="0" applyNumberFormat="1" applyFont="1" applyBorder="1" applyAlignment="1">
      <alignment vertical="top"/>
    </xf>
    <xf numFmtId="3" fontId="49" fillId="0" borderId="18" xfId="0" applyNumberFormat="1" applyFont="1" applyBorder="1" applyAlignment="1">
      <alignment vertical="top"/>
    </xf>
    <xf numFmtId="3" fontId="49" fillId="0" borderId="21" xfId="0" applyNumberFormat="1" applyFont="1" applyBorder="1" applyAlignment="1">
      <alignment vertical="top"/>
    </xf>
    <xf numFmtId="0" fontId="34" fillId="23" borderId="0" xfId="0" applyFont="1" applyFill="1" applyAlignment="1">
      <alignment vertical="top"/>
    </xf>
    <xf numFmtId="3" fontId="34" fillId="23" borderId="0" xfId="0" applyNumberFormat="1" applyFont="1" applyFill="1" applyAlignment="1">
      <alignment vertical="top"/>
    </xf>
    <xf numFmtId="3" fontId="49" fillId="23" borderId="0" xfId="0" applyNumberFormat="1" applyFont="1" applyFill="1" applyAlignment="1">
      <alignment vertical="top"/>
    </xf>
    <xf numFmtId="0" fontId="8" fillId="33" borderId="23" xfId="0" applyFont="1" applyFill="1" applyBorder="1" applyAlignment="1">
      <alignment horizontal="center" vertical="center"/>
    </xf>
    <xf numFmtId="164" fontId="8" fillId="33" borderId="23" xfId="0" applyNumberFormat="1" applyFont="1" applyFill="1" applyBorder="1" applyAlignment="1">
      <alignment vertical="center" wrapText="1"/>
    </xf>
    <xf numFmtId="164" fontId="8" fillId="33" borderId="23" xfId="0" applyNumberFormat="1" applyFont="1" applyFill="1" applyBorder="1" applyAlignment="1">
      <alignment horizontal="center" vertical="center"/>
    </xf>
    <xf numFmtId="0" fontId="8" fillId="33" borderId="23" xfId="0" applyFont="1" applyFill="1" applyBorder="1" applyAlignment="1">
      <alignment vertical="center"/>
    </xf>
    <xf numFmtId="0" fontId="8" fillId="33" borderId="23" xfId="0" applyNumberFormat="1" applyFont="1" applyFill="1" applyBorder="1" applyAlignment="1">
      <alignment vertical="center" wrapText="1"/>
    </xf>
    <xf numFmtId="0" fontId="8" fillId="33" borderId="23" xfId="0" applyNumberFormat="1" applyFont="1" applyFill="1" applyBorder="1" applyAlignment="1">
      <alignment horizontal="center" vertical="center"/>
    </xf>
    <xf numFmtId="0" fontId="8" fillId="33" borderId="23" xfId="0" applyFont="1" applyFill="1" applyBorder="1" applyAlignment="1">
      <alignment vertical="center" wrapText="1"/>
    </xf>
    <xf numFmtId="0" fontId="8" fillId="33" borderId="23" xfId="0" applyNumberFormat="1" applyFont="1" applyFill="1" applyBorder="1" applyAlignment="1">
      <alignment horizontal="left" vertical="center" wrapText="1"/>
    </xf>
    <xf numFmtId="0" fontId="7" fillId="33" borderId="23" xfId="0" applyNumberFormat="1" applyFont="1" applyFill="1" applyBorder="1" applyAlignment="1">
      <alignment horizontal="center" vertical="center"/>
    </xf>
    <xf numFmtId="0" fontId="7" fillId="33" borderId="0" xfId="0" applyFont="1" applyFill="1" applyBorder="1" applyAlignment="1">
      <alignment horizontal="center" vertical="center"/>
    </xf>
    <xf numFmtId="164" fontId="8" fillId="33" borderId="0" xfId="42" applyNumberFormat="1" applyFont="1" applyFill="1" applyBorder="1" applyAlignment="1">
      <alignment horizontal="center" vertical="center"/>
    </xf>
    <xf numFmtId="0" fontId="8" fillId="33" borderId="0" xfId="0" applyNumberFormat="1" applyFont="1" applyFill="1" applyBorder="1" applyAlignment="1">
      <alignment horizontal="center" vertical="center"/>
    </xf>
    <xf numFmtId="0" fontId="8" fillId="33" borderId="0" xfId="0" applyFont="1" applyFill="1" applyBorder="1" applyAlignment="1">
      <alignment vertical="center"/>
    </xf>
    <xf numFmtId="0" fontId="7" fillId="33" borderId="0" xfId="0" applyFont="1" applyFill="1" applyBorder="1" applyAlignment="1">
      <alignment vertical="center" wrapText="1"/>
    </xf>
    <xf numFmtId="0" fontId="7" fillId="33" borderId="0" xfId="0" applyNumberFormat="1" applyFont="1" applyFill="1" applyBorder="1" applyAlignment="1">
      <alignment vertical="center"/>
    </xf>
    <xf numFmtId="0" fontId="8" fillId="0" borderId="0" xfId="0" applyFont="1" applyBorder="1" applyAlignment="1">
      <alignment/>
    </xf>
    <xf numFmtId="0" fontId="52" fillId="0" borderId="0" xfId="0" applyFont="1" applyBorder="1" applyAlignment="1">
      <alignment/>
    </xf>
    <xf numFmtId="0" fontId="7" fillId="0" borderId="23" xfId="0" applyFont="1" applyBorder="1" applyAlignment="1">
      <alignment horizontal="center"/>
    </xf>
    <xf numFmtId="0" fontId="8" fillId="0" borderId="23" xfId="0" applyFont="1" applyBorder="1" applyAlignment="1">
      <alignment/>
    </xf>
    <xf numFmtId="0" fontId="8" fillId="0" borderId="23" xfId="0" applyFont="1" applyBorder="1" applyAlignment="1">
      <alignment vertical="top" wrapText="1"/>
    </xf>
    <xf numFmtId="0" fontId="8" fillId="0" borderId="0" xfId="0" applyFont="1" applyBorder="1" applyAlignment="1">
      <alignment vertical="top" wrapText="1"/>
    </xf>
    <xf numFmtId="4" fontId="7" fillId="33" borderId="0" xfId="0" applyNumberFormat="1" applyFont="1" applyFill="1" applyBorder="1" applyAlignment="1" applyProtection="1">
      <alignment horizontal="center" vertical="top" wrapText="1"/>
      <protection locked="0"/>
    </xf>
    <xf numFmtId="0" fontId="52" fillId="33" borderId="0" xfId="0" applyFont="1" applyFill="1" applyBorder="1" applyAlignment="1">
      <alignment/>
    </xf>
    <xf numFmtId="4" fontId="7" fillId="0" borderId="0" xfId="0" applyNumberFormat="1" applyFont="1" applyBorder="1" applyAlignment="1">
      <alignment horizontal="center" vertical="top"/>
    </xf>
    <xf numFmtId="0" fontId="8" fillId="33" borderId="0" xfId="0" applyFont="1" applyFill="1" applyBorder="1" applyAlignment="1">
      <alignment/>
    </xf>
    <xf numFmtId="0" fontId="8" fillId="33" borderId="0" xfId="0" applyFont="1" applyFill="1" applyBorder="1" applyAlignment="1">
      <alignment/>
    </xf>
    <xf numFmtId="164" fontId="7" fillId="33" borderId="0" xfId="0" applyNumberFormat="1" applyFont="1" applyFill="1" applyBorder="1" applyAlignment="1">
      <alignment horizontal="left" vertical="center" wrapText="1"/>
    </xf>
    <xf numFmtId="0" fontId="52" fillId="0" borderId="0" xfId="0" applyFont="1" applyBorder="1" applyAlignment="1">
      <alignment horizontal="left"/>
    </xf>
    <xf numFmtId="0" fontId="9" fillId="0" borderId="24" xfId="0" applyFont="1" applyBorder="1" applyAlignment="1">
      <alignment horizontal="center"/>
    </xf>
    <xf numFmtId="164" fontId="8" fillId="33" borderId="23" xfId="42" applyNumberFormat="1" applyFont="1" applyFill="1" applyBorder="1" applyAlignment="1">
      <alignment horizontal="right" vertical="center"/>
    </xf>
    <xf numFmtId="0" fontId="7" fillId="33" borderId="23" xfId="0" applyFont="1" applyFill="1" applyBorder="1" applyAlignment="1">
      <alignment horizontal="center"/>
    </xf>
    <xf numFmtId="0" fontId="8" fillId="0" borderId="23" xfId="0" applyFont="1" applyBorder="1" applyAlignment="1">
      <alignment horizontal="center" vertical="top"/>
    </xf>
    <xf numFmtId="0" fontId="8" fillId="33" borderId="23" xfId="0" applyFont="1" applyFill="1" applyBorder="1" applyAlignment="1">
      <alignment horizontal="center"/>
    </xf>
    <xf numFmtId="0" fontId="3" fillId="0" borderId="23" xfId="0" applyFont="1" applyBorder="1" applyAlignment="1">
      <alignment vertical="top" wrapText="1"/>
    </xf>
    <xf numFmtId="0" fontId="12" fillId="0" borderId="25" xfId="0" applyFont="1" applyBorder="1" applyAlignment="1">
      <alignment horizontal="center" vertical="center" wrapText="1"/>
    </xf>
    <xf numFmtId="49" fontId="12" fillId="0" borderId="25" xfId="0" applyNumberFormat="1" applyFont="1" applyBorder="1" applyAlignment="1">
      <alignment horizontal="left" vertical="center"/>
    </xf>
    <xf numFmtId="0" fontId="3" fillId="0" borderId="25" xfId="0" applyFont="1" applyBorder="1" applyAlignment="1">
      <alignment horizontal="center" vertical="center"/>
    </xf>
    <xf numFmtId="3" fontId="3" fillId="0" borderId="25" xfId="0" applyNumberFormat="1" applyFont="1" applyBorder="1" applyAlignment="1">
      <alignment horizontal="center" vertical="center"/>
    </xf>
    <xf numFmtId="0" fontId="3" fillId="0" borderId="12" xfId="0" applyFont="1" applyBorder="1" applyAlignment="1">
      <alignment horizontal="center" vertical="center"/>
    </xf>
    <xf numFmtId="49" fontId="3" fillId="0" borderId="12" xfId="0" applyNumberFormat="1" applyFont="1" applyBorder="1" applyAlignment="1">
      <alignment horizontal="left" vertical="center" wrapText="1"/>
    </xf>
    <xf numFmtId="3" fontId="3" fillId="0" borderId="12" xfId="0" applyNumberFormat="1" applyFont="1" applyBorder="1" applyAlignment="1">
      <alignment horizontal="center" vertical="center"/>
    </xf>
    <xf numFmtId="0" fontId="12" fillId="0" borderId="12" xfId="0" applyFont="1" applyBorder="1" applyAlignment="1">
      <alignment horizontal="center" vertical="center"/>
    </xf>
    <xf numFmtId="49" fontId="12" fillId="0" borderId="12" xfId="0" applyNumberFormat="1" applyFont="1" applyBorder="1" applyAlignment="1">
      <alignment horizontal="left" vertical="center" wrapText="1"/>
    </xf>
    <xf numFmtId="49" fontId="3" fillId="0" borderId="12" xfId="44" applyNumberFormat="1" applyFont="1" applyFill="1" applyBorder="1" applyAlignment="1" applyProtection="1">
      <alignment horizontal="left" vertical="center" wrapText="1"/>
      <protection/>
    </xf>
    <xf numFmtId="49" fontId="3" fillId="33" borderId="12" xfId="44" applyNumberFormat="1" applyFont="1" applyFill="1" applyBorder="1" applyAlignment="1" applyProtection="1">
      <alignment horizontal="left" vertical="center" wrapText="1"/>
      <protection/>
    </xf>
    <xf numFmtId="0" fontId="3" fillId="33" borderId="12" xfId="0" applyFont="1" applyFill="1" applyBorder="1" applyAlignment="1">
      <alignment horizontal="center" vertical="center"/>
    </xf>
    <xf numFmtId="3" fontId="3" fillId="33" borderId="12" xfId="0" applyNumberFormat="1" applyFont="1" applyFill="1" applyBorder="1" applyAlignment="1">
      <alignment horizontal="center" vertical="center"/>
    </xf>
    <xf numFmtId="49" fontId="12" fillId="0" borderId="12" xfId="0" applyNumberFormat="1" applyFont="1" applyBorder="1" applyAlignment="1">
      <alignment horizontal="left" vertical="center"/>
    </xf>
    <xf numFmtId="0" fontId="12" fillId="0" borderId="12" xfId="0" applyFont="1" applyBorder="1" applyAlignment="1">
      <alignment horizontal="center" vertical="center" wrapText="1"/>
    </xf>
    <xf numFmtId="3" fontId="12" fillId="0" borderId="12" xfId="0" applyNumberFormat="1" applyFont="1" applyBorder="1" applyAlignment="1">
      <alignment horizontal="center" vertical="center" wrapText="1"/>
    </xf>
    <xf numFmtId="3" fontId="12" fillId="0" borderId="12" xfId="0" applyNumberFormat="1" applyFont="1" applyBorder="1" applyAlignment="1">
      <alignment horizontal="center" vertical="center"/>
    </xf>
    <xf numFmtId="49" fontId="3" fillId="0" borderId="12" xfId="0" applyNumberFormat="1" applyFont="1" applyBorder="1" applyAlignment="1">
      <alignment vertical="center" wrapText="1"/>
    </xf>
    <xf numFmtId="3" fontId="3" fillId="0" borderId="0" xfId="0" applyNumberFormat="1" applyFont="1" applyAlignment="1">
      <alignment horizontal="center" vertical="center"/>
    </xf>
    <xf numFmtId="49" fontId="12" fillId="0" borderId="15" xfId="0" applyNumberFormat="1" applyFont="1" applyBorder="1" applyAlignment="1">
      <alignment horizontal="left" vertical="center"/>
    </xf>
    <xf numFmtId="0" fontId="3" fillId="0" borderId="15" xfId="0" applyFont="1" applyBorder="1" applyAlignment="1">
      <alignment horizontal="center" vertical="center"/>
    </xf>
    <xf numFmtId="3" fontId="3" fillId="0" borderId="15" xfId="0" applyNumberFormat="1" applyFont="1" applyBorder="1" applyAlignment="1">
      <alignment horizontal="center" vertical="center"/>
    </xf>
    <xf numFmtId="49" fontId="3" fillId="0" borderId="15" xfId="0" applyNumberFormat="1" applyFont="1" applyBorder="1" applyAlignment="1">
      <alignment horizontal="left" vertical="center" wrapText="1"/>
    </xf>
    <xf numFmtId="0" fontId="34" fillId="0" borderId="26" xfId="0" applyFont="1" applyBorder="1" applyAlignment="1">
      <alignment horizontal="center" vertical="center"/>
    </xf>
    <xf numFmtId="0" fontId="34" fillId="0" borderId="10" xfId="0" applyFont="1" applyBorder="1" applyAlignment="1">
      <alignment horizontal="center" vertical="center"/>
    </xf>
    <xf numFmtId="0" fontId="34" fillId="0" borderId="26"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28" xfId="0" applyFont="1" applyBorder="1" applyAlignment="1">
      <alignment horizontal="center" vertical="center" wrapText="1"/>
    </xf>
    <xf numFmtId="0" fontId="53" fillId="0" borderId="0" xfId="0" applyFont="1" applyAlignment="1">
      <alignment horizontal="center"/>
    </xf>
    <xf numFmtId="0" fontId="34" fillId="0" borderId="0" xfId="0" applyFont="1" applyAlignment="1">
      <alignment horizontal="center"/>
    </xf>
    <xf numFmtId="0" fontId="34" fillId="0" borderId="29" xfId="0" applyFont="1" applyBorder="1" applyAlignment="1">
      <alignment horizontal="center" vertical="center" wrapText="1"/>
    </xf>
    <xf numFmtId="0" fontId="34" fillId="0" borderId="30" xfId="0" applyFont="1" applyBorder="1" applyAlignment="1">
      <alignment horizontal="center" vertical="center" wrapText="1"/>
    </xf>
    <xf numFmtId="3" fontId="34" fillId="0" borderId="26" xfId="0" applyNumberFormat="1" applyFont="1" applyBorder="1" applyAlignment="1">
      <alignment horizontal="center" vertical="center" wrapText="1"/>
    </xf>
    <xf numFmtId="3" fontId="34" fillId="0" borderId="10" xfId="0" applyNumberFormat="1" applyFont="1" applyBorder="1" applyAlignment="1">
      <alignment horizontal="center" vertical="center" wrapText="1"/>
    </xf>
    <xf numFmtId="0" fontId="9" fillId="0" borderId="0" xfId="0" applyFont="1" applyBorder="1" applyAlignment="1">
      <alignment horizontal="center"/>
    </xf>
    <xf numFmtId="0" fontId="54" fillId="0" borderId="0" xfId="0" applyFont="1" applyBorder="1" applyAlignment="1">
      <alignment horizontal="center"/>
    </xf>
    <xf numFmtId="0" fontId="7" fillId="33" borderId="23" xfId="0" applyFont="1" applyFill="1" applyBorder="1" applyAlignment="1">
      <alignment horizontal="center"/>
    </xf>
    <xf numFmtId="0" fontId="7" fillId="0" borderId="23" xfId="0" applyFont="1" applyBorder="1" applyAlignment="1">
      <alignment horizontal="center" vertical="top"/>
    </xf>
    <xf numFmtId="0" fontId="8" fillId="0" borderId="23" xfId="0" applyFont="1" applyBorder="1" applyAlignment="1">
      <alignment horizontal="center" vertical="top"/>
    </xf>
    <xf numFmtId="0" fontId="8" fillId="33" borderId="23" xfId="0" applyFont="1" applyFill="1" applyBorder="1" applyAlignment="1">
      <alignment horizontal="center"/>
    </xf>
    <xf numFmtId="0" fontId="7" fillId="33" borderId="23" xfId="0" applyNumberFormat="1" applyFont="1" applyFill="1" applyBorder="1" applyAlignment="1">
      <alignment horizontal="left" vertical="center"/>
    </xf>
    <xf numFmtId="164" fontId="7" fillId="33" borderId="31" xfId="0" applyNumberFormat="1" applyFont="1" applyFill="1" applyBorder="1" applyAlignment="1">
      <alignment horizontal="left" vertical="center" wrapText="1"/>
    </xf>
    <xf numFmtId="164" fontId="7" fillId="33" borderId="32" xfId="0" applyNumberFormat="1" applyFont="1" applyFill="1" applyBorder="1" applyAlignment="1">
      <alignment horizontal="left" vertical="center" wrapText="1"/>
    </xf>
    <xf numFmtId="164" fontId="7" fillId="33" borderId="33" xfId="0" applyNumberFormat="1" applyFont="1" applyFill="1" applyBorder="1" applyAlignment="1">
      <alignment horizontal="left" vertical="center" wrapText="1"/>
    </xf>
    <xf numFmtId="0" fontId="7" fillId="0" borderId="31" xfId="0" applyFont="1" applyBorder="1" applyAlignment="1">
      <alignment horizontal="left" vertical="top" wrapText="1"/>
    </xf>
    <xf numFmtId="0" fontId="7" fillId="0" borderId="32" xfId="0" applyFont="1" applyBorder="1" applyAlignment="1">
      <alignment horizontal="left" vertical="top" wrapText="1"/>
    </xf>
    <xf numFmtId="0" fontId="7" fillId="0" borderId="33" xfId="0" applyFont="1" applyBorder="1" applyAlignment="1">
      <alignment horizontal="left" vertical="top" wrapText="1"/>
    </xf>
    <xf numFmtId="0" fontId="7" fillId="33" borderId="31" xfId="0" applyFont="1" applyFill="1" applyBorder="1" applyAlignment="1" applyProtection="1">
      <alignment horizontal="left" vertical="top" wrapText="1"/>
      <protection locked="0"/>
    </xf>
    <xf numFmtId="0" fontId="7" fillId="33" borderId="32" xfId="0" applyFont="1" applyFill="1" applyBorder="1" applyAlignment="1" applyProtection="1">
      <alignment horizontal="left" vertical="top" wrapText="1"/>
      <protection locked="0"/>
    </xf>
    <xf numFmtId="0" fontId="7" fillId="33" borderId="33" xfId="0" applyFont="1" applyFill="1" applyBorder="1" applyAlignment="1" applyProtection="1">
      <alignment horizontal="left" vertical="top" wrapText="1"/>
      <protection locked="0"/>
    </xf>
    <xf numFmtId="0" fontId="7" fillId="33" borderId="31" xfId="0" applyFont="1" applyFill="1" applyBorder="1" applyAlignment="1">
      <alignment horizontal="left" vertical="center" wrapText="1"/>
    </xf>
    <xf numFmtId="0" fontId="7" fillId="33" borderId="32" xfId="0" applyFont="1" applyFill="1" applyBorder="1" applyAlignment="1">
      <alignment horizontal="left" vertical="center" wrapText="1"/>
    </xf>
    <xf numFmtId="0" fontId="7" fillId="33" borderId="33" xfId="0" applyFont="1" applyFill="1" applyBorder="1" applyAlignment="1">
      <alignment horizontal="lef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6" xfId="58"/>
    <cellStyle name="Normal 7" xfId="59"/>
    <cellStyle name="Note" xfId="60"/>
    <cellStyle name="Output" xfId="61"/>
    <cellStyle name="Percent" xfId="62"/>
    <cellStyle name="Style 1"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styles" Target="styles.xml" /><Relationship Id="rId143" Type="http://schemas.openxmlformats.org/officeDocument/2006/relationships/sharedStrings" Target="sharedStrings.xml" /><Relationship Id="rId1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3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269"/>
  <sheetViews>
    <sheetView zoomScale="85" zoomScaleNormal="85" zoomScalePageLayoutView="0" workbookViewId="0" topLeftCell="A9">
      <pane ySplit="2010" topLeftCell="A132" activePane="bottomLeft" state="split"/>
      <selection pane="topLeft" activeCell="A2" sqref="A2:N2"/>
      <selection pane="bottomLeft" activeCell="E205" sqref="E205"/>
    </sheetView>
  </sheetViews>
  <sheetFormatPr defaultColWidth="8.7109375" defaultRowHeight="15" outlineLevelRow="3"/>
  <cols>
    <col min="1" max="1" width="8.7109375" style="1" customWidth="1"/>
    <col min="2" max="2" width="10.00390625" style="1" customWidth="1"/>
    <col min="3" max="3" width="35.57421875" style="1" customWidth="1"/>
    <col min="4" max="9" width="8.7109375" style="1" customWidth="1"/>
    <col min="10" max="11" width="13.00390625" style="1" customWidth="1"/>
    <col min="12" max="13" width="13.00390625" style="17" customWidth="1"/>
    <col min="14" max="15" width="8.7109375" style="1" customWidth="1"/>
    <col min="16" max="16" width="9.8515625" style="1" bestFit="1" customWidth="1"/>
    <col min="17" max="16384" width="8.7109375" style="1" customWidth="1"/>
  </cols>
  <sheetData>
    <row r="1" spans="1:14" ht="18.75">
      <c r="A1" s="97" t="s">
        <v>165</v>
      </c>
      <c r="B1" s="97"/>
      <c r="C1" s="97"/>
      <c r="D1" s="97"/>
      <c r="E1" s="97"/>
      <c r="F1" s="97"/>
      <c r="G1" s="97"/>
      <c r="H1" s="97"/>
      <c r="I1" s="97"/>
      <c r="J1" s="97"/>
      <c r="K1" s="97"/>
      <c r="L1" s="97"/>
      <c r="M1" s="97"/>
      <c r="N1" s="97"/>
    </row>
    <row r="2" spans="1:14" ht="15">
      <c r="A2" s="98" t="s">
        <v>164</v>
      </c>
      <c r="B2" s="98"/>
      <c r="C2" s="98"/>
      <c r="D2" s="98"/>
      <c r="E2" s="98"/>
      <c r="F2" s="98"/>
      <c r="G2" s="98"/>
      <c r="H2" s="98"/>
      <c r="I2" s="98"/>
      <c r="J2" s="98"/>
      <c r="K2" s="98"/>
      <c r="L2" s="98"/>
      <c r="M2" s="98"/>
      <c r="N2" s="98"/>
    </row>
    <row r="3" spans="1:14" ht="15">
      <c r="A3" s="98" t="s">
        <v>20</v>
      </c>
      <c r="B3" s="98"/>
      <c r="C3" s="98"/>
      <c r="D3" s="98"/>
      <c r="E3" s="98"/>
      <c r="F3" s="98"/>
      <c r="G3" s="98"/>
      <c r="H3" s="98"/>
      <c r="I3" s="98"/>
      <c r="J3" s="98"/>
      <c r="K3" s="98"/>
      <c r="L3" s="98"/>
      <c r="M3" s="98"/>
      <c r="N3" s="98"/>
    </row>
    <row r="4" spans="1:14" ht="15">
      <c r="A4" s="98"/>
      <c r="B4" s="98"/>
      <c r="C4" s="98"/>
      <c r="D4" s="98"/>
      <c r="E4" s="98"/>
      <c r="F4" s="98"/>
      <c r="G4" s="98"/>
      <c r="H4" s="98"/>
      <c r="I4" s="98"/>
      <c r="J4" s="98"/>
      <c r="K4" s="98"/>
      <c r="L4" s="98"/>
      <c r="M4" s="98"/>
      <c r="N4" s="98"/>
    </row>
    <row r="5" ht="15.75" thickBot="1"/>
    <row r="6" spans="1:14" s="2" customFormat="1" ht="15">
      <c r="A6" s="99" t="s">
        <v>0</v>
      </c>
      <c r="B6" s="93" t="s">
        <v>1</v>
      </c>
      <c r="C6" s="93" t="s">
        <v>2</v>
      </c>
      <c r="D6" s="91" t="s">
        <v>3</v>
      </c>
      <c r="E6" s="91" t="s">
        <v>4</v>
      </c>
      <c r="F6" s="91" t="s">
        <v>5</v>
      </c>
      <c r="G6" s="91"/>
      <c r="H6" s="91"/>
      <c r="I6" s="91" t="s">
        <v>6</v>
      </c>
      <c r="J6" s="93" t="s">
        <v>7</v>
      </c>
      <c r="K6" s="93" t="s">
        <v>8</v>
      </c>
      <c r="L6" s="101" t="s">
        <v>45</v>
      </c>
      <c r="M6" s="101" t="s">
        <v>46</v>
      </c>
      <c r="N6" s="95" t="s">
        <v>9</v>
      </c>
    </row>
    <row r="7" spans="1:14" s="2" customFormat="1" ht="15.75" thickBot="1">
      <c r="A7" s="100"/>
      <c r="B7" s="94"/>
      <c r="C7" s="94"/>
      <c r="D7" s="92"/>
      <c r="E7" s="92"/>
      <c r="F7" s="3" t="s">
        <v>10</v>
      </c>
      <c r="G7" s="3" t="s">
        <v>11</v>
      </c>
      <c r="H7" s="3" t="s">
        <v>12</v>
      </c>
      <c r="I7" s="92"/>
      <c r="J7" s="94"/>
      <c r="K7" s="94"/>
      <c r="L7" s="102"/>
      <c r="M7" s="102"/>
      <c r="N7" s="96"/>
    </row>
    <row r="8" spans="1:14" s="2" customFormat="1" ht="15">
      <c r="A8" s="15"/>
      <c r="B8" s="13"/>
      <c r="C8" s="12" t="s">
        <v>21</v>
      </c>
      <c r="D8" s="5"/>
      <c r="E8" s="5"/>
      <c r="F8" s="5"/>
      <c r="G8" s="5"/>
      <c r="H8" s="5"/>
      <c r="I8" s="5"/>
      <c r="J8" s="5"/>
      <c r="K8" s="5"/>
      <c r="L8" s="18"/>
      <c r="M8" s="28">
        <f>SUM(M9:M121)</f>
        <v>78894505</v>
      </c>
      <c r="N8" s="6"/>
    </row>
    <row r="9" spans="1:14" s="2" customFormat="1" ht="15">
      <c r="A9" s="4">
        <f>IF(B9="","",COUNTA($B9:$B$9))</f>
        <v>1</v>
      </c>
      <c r="B9" s="5" t="s">
        <v>23</v>
      </c>
      <c r="C9" s="7" t="s">
        <v>22</v>
      </c>
      <c r="D9" s="5" t="s">
        <v>19</v>
      </c>
      <c r="E9" s="5"/>
      <c r="F9" s="5"/>
      <c r="G9" s="5"/>
      <c r="H9" s="5"/>
      <c r="I9" s="5"/>
      <c r="J9" s="5"/>
      <c r="K9" s="5">
        <f>SUM(J10:J63)</f>
        <v>338.096</v>
      </c>
      <c r="L9" s="18">
        <v>50000</v>
      </c>
      <c r="M9" s="18">
        <f>K9*L9</f>
        <v>16904800</v>
      </c>
      <c r="N9" s="6"/>
    </row>
    <row r="10" spans="1:14" s="2" customFormat="1" ht="15" hidden="1" outlineLevel="3">
      <c r="A10" s="4">
        <f>IF(B10="","",COUNTA($B$9:$B10))</f>
      </c>
      <c r="B10" s="5"/>
      <c r="C10" s="5" t="s">
        <v>64</v>
      </c>
      <c r="D10" s="5"/>
      <c r="E10" s="5"/>
      <c r="F10" s="5"/>
      <c r="G10" s="5"/>
      <c r="H10" s="5"/>
      <c r="I10" s="5"/>
      <c r="J10" s="5"/>
      <c r="K10" s="5"/>
      <c r="L10" s="18"/>
      <c r="M10" s="18"/>
      <c r="N10" s="6"/>
    </row>
    <row r="11" spans="1:14" s="2" customFormat="1" ht="15" hidden="1" outlineLevel="3">
      <c r="A11" s="4">
        <f>IF(B11="","",COUNTA($B$9:$B11))</f>
      </c>
      <c r="B11" s="5"/>
      <c r="C11" s="5" t="s">
        <v>65</v>
      </c>
      <c r="D11" s="5"/>
      <c r="E11" s="5">
        <v>1</v>
      </c>
      <c r="F11" s="5">
        <v>3.7</v>
      </c>
      <c r="G11" s="5"/>
      <c r="H11" s="5">
        <v>3.4</v>
      </c>
      <c r="I11" s="5"/>
      <c r="J11" s="5">
        <f>ROUND(PRODUCT(E11:I11),3)</f>
        <v>12.58</v>
      </c>
      <c r="K11" s="5"/>
      <c r="L11" s="18"/>
      <c r="M11" s="18"/>
      <c r="N11" s="6"/>
    </row>
    <row r="12" spans="1:14" s="2" customFormat="1" ht="15" hidden="1" outlineLevel="3">
      <c r="A12" s="4"/>
      <c r="B12" s="5"/>
      <c r="C12" s="5" t="s">
        <v>63</v>
      </c>
      <c r="D12" s="5"/>
      <c r="E12" s="5">
        <v>-1</v>
      </c>
      <c r="F12" s="5">
        <f>3.7-1.25</f>
        <v>2.45</v>
      </c>
      <c r="G12" s="5"/>
      <c r="H12" s="5">
        <v>1.2</v>
      </c>
      <c r="I12" s="5"/>
      <c r="J12" s="5">
        <f>ROUND(PRODUCT(E12:I12),3)</f>
        <v>-2.94</v>
      </c>
      <c r="K12" s="5"/>
      <c r="L12" s="18"/>
      <c r="M12" s="18"/>
      <c r="N12" s="6"/>
    </row>
    <row r="13" spans="1:14" s="2" customFormat="1" ht="15" hidden="1" outlineLevel="3">
      <c r="A13" s="4">
        <f>IF(B13="","",COUNTA($B$9:$B13))</f>
      </c>
      <c r="B13" s="5"/>
      <c r="C13" s="5" t="s">
        <v>66</v>
      </c>
      <c r="D13" s="5"/>
      <c r="E13" s="5">
        <v>1</v>
      </c>
      <c r="F13" s="5">
        <v>1.4</v>
      </c>
      <c r="G13" s="5"/>
      <c r="H13" s="5">
        <v>2.8</v>
      </c>
      <c r="I13" s="5"/>
      <c r="J13" s="5">
        <f>ROUND(PRODUCT(E13:I13),3)</f>
        <v>3.92</v>
      </c>
      <c r="K13" s="5"/>
      <c r="L13" s="18"/>
      <c r="M13" s="18"/>
      <c r="N13" s="6"/>
    </row>
    <row r="14" spans="1:14" s="2" customFormat="1" ht="15" hidden="1" outlineLevel="3">
      <c r="A14" s="4">
        <f>IF(B14="","",COUNTA($B$9:$B14))</f>
      </c>
      <c r="B14" s="5"/>
      <c r="C14" s="5" t="s">
        <v>67</v>
      </c>
      <c r="D14" s="5"/>
      <c r="E14" s="5">
        <v>1</v>
      </c>
      <c r="F14" s="5">
        <v>1.25</v>
      </c>
      <c r="G14" s="5"/>
      <c r="H14" s="5">
        <v>1.6</v>
      </c>
      <c r="I14" s="5"/>
      <c r="J14" s="5">
        <f>ROUND(PRODUCT(E14:I14),3)</f>
        <v>2</v>
      </c>
      <c r="K14" s="5"/>
      <c r="L14" s="18"/>
      <c r="M14" s="18"/>
      <c r="N14" s="6"/>
    </row>
    <row r="15" spans="1:14" s="2" customFormat="1" ht="15" hidden="1" outlineLevel="3">
      <c r="A15" s="4">
        <f>IF(B15="","",COUNTA($B$9:$B15))</f>
      </c>
      <c r="B15" s="5"/>
      <c r="C15" s="5" t="s">
        <v>68</v>
      </c>
      <c r="D15" s="5"/>
      <c r="E15" s="5"/>
      <c r="F15" s="5"/>
      <c r="G15" s="5"/>
      <c r="H15" s="5"/>
      <c r="I15" s="5"/>
      <c r="J15" s="5"/>
      <c r="K15" s="5"/>
      <c r="L15" s="18"/>
      <c r="M15" s="18"/>
      <c r="N15" s="6"/>
    </row>
    <row r="16" spans="1:14" s="2" customFormat="1" ht="15" hidden="1" outlineLevel="3">
      <c r="A16" s="4">
        <f>IF(B16="","",COUNTA($B$9:$B16))</f>
      </c>
      <c r="B16" s="5"/>
      <c r="C16" s="5" t="s">
        <v>65</v>
      </c>
      <c r="D16" s="5"/>
      <c r="E16" s="5">
        <v>1</v>
      </c>
      <c r="F16" s="5">
        <v>3.8</v>
      </c>
      <c r="G16" s="5"/>
      <c r="H16" s="5">
        <v>3.4</v>
      </c>
      <c r="I16" s="5"/>
      <c r="J16" s="5">
        <f>ROUND(PRODUCT(E16:I16),3)</f>
        <v>12.92</v>
      </c>
      <c r="K16" s="5"/>
      <c r="L16" s="18"/>
      <c r="M16" s="18"/>
      <c r="N16" s="6"/>
    </row>
    <row r="17" spans="1:14" s="2" customFormat="1" ht="15" hidden="1" outlineLevel="3">
      <c r="A17" s="4"/>
      <c r="B17" s="5"/>
      <c r="C17" s="5" t="s">
        <v>63</v>
      </c>
      <c r="D17" s="5"/>
      <c r="E17" s="5">
        <v>-1</v>
      </c>
      <c r="F17" s="5">
        <f>3.8-1.25</f>
        <v>2.55</v>
      </c>
      <c r="G17" s="5"/>
      <c r="H17" s="5">
        <v>1.2</v>
      </c>
      <c r="I17" s="5"/>
      <c r="J17" s="5">
        <f>ROUND(PRODUCT(E17:I17),3)</f>
        <v>-3.06</v>
      </c>
      <c r="K17" s="5"/>
      <c r="L17" s="18"/>
      <c r="M17" s="18"/>
      <c r="N17" s="6"/>
    </row>
    <row r="18" spans="1:14" s="2" customFormat="1" ht="15" hidden="1" outlineLevel="3">
      <c r="A18" s="4">
        <f>IF(B18="","",COUNTA($B$9:$B18))</f>
      </c>
      <c r="B18" s="5"/>
      <c r="C18" s="5" t="s">
        <v>66</v>
      </c>
      <c r="D18" s="5"/>
      <c r="E18" s="5">
        <v>1</v>
      </c>
      <c r="F18" s="5">
        <v>1.4</v>
      </c>
      <c r="G18" s="5"/>
      <c r="H18" s="5">
        <v>2.8</v>
      </c>
      <c r="I18" s="5"/>
      <c r="J18" s="5">
        <f>ROUND(PRODUCT(E18:I18),3)</f>
        <v>3.92</v>
      </c>
      <c r="K18" s="5"/>
      <c r="L18" s="18"/>
      <c r="M18" s="18"/>
      <c r="N18" s="6"/>
    </row>
    <row r="19" spans="1:14" s="2" customFormat="1" ht="15" hidden="1" outlineLevel="3">
      <c r="A19" s="4">
        <f>IF(B19="","",COUNTA($B$9:$B19))</f>
      </c>
      <c r="B19" s="5"/>
      <c r="C19" s="5" t="s">
        <v>67</v>
      </c>
      <c r="D19" s="5"/>
      <c r="E19" s="5">
        <v>1</v>
      </c>
      <c r="F19" s="5">
        <v>1.25</v>
      </c>
      <c r="G19" s="5"/>
      <c r="H19" s="5">
        <v>1.6</v>
      </c>
      <c r="I19" s="5"/>
      <c r="J19" s="5">
        <f>ROUND(PRODUCT(E19:I19),3)</f>
        <v>2</v>
      </c>
      <c r="K19" s="5"/>
      <c r="L19" s="18"/>
      <c r="M19" s="18"/>
      <c r="N19" s="6"/>
    </row>
    <row r="20" spans="1:14" s="2" customFormat="1" ht="15" hidden="1" outlineLevel="3">
      <c r="A20" s="4">
        <f>IF(B20="","",COUNTA($B$9:$B20))</f>
      </c>
      <c r="B20" s="5"/>
      <c r="C20" s="5" t="s">
        <v>69</v>
      </c>
      <c r="D20" s="5"/>
      <c r="E20" s="5"/>
      <c r="F20" s="5"/>
      <c r="G20" s="5"/>
      <c r="H20" s="5"/>
      <c r="I20" s="5"/>
      <c r="J20" s="5"/>
      <c r="K20" s="5"/>
      <c r="L20" s="18"/>
      <c r="M20" s="18"/>
      <c r="N20" s="6"/>
    </row>
    <row r="21" spans="1:14" s="2" customFormat="1" ht="15" hidden="1" outlineLevel="3">
      <c r="A21" s="4">
        <f>IF(B21="","",COUNTA($B$9:$B27))</f>
      </c>
      <c r="B21" s="5"/>
      <c r="C21" s="5" t="s">
        <v>65</v>
      </c>
      <c r="D21" s="5"/>
      <c r="E21" s="5">
        <v>1</v>
      </c>
      <c r="F21" s="5">
        <v>5.9</v>
      </c>
      <c r="G21" s="5"/>
      <c r="H21" s="5">
        <v>3.4</v>
      </c>
      <c r="I21" s="5"/>
      <c r="J21" s="5">
        <f>ROUND(PRODUCT(E21:I21),3)</f>
        <v>20.06</v>
      </c>
      <c r="K21" s="5"/>
      <c r="L21" s="18"/>
      <c r="M21" s="18"/>
      <c r="N21" s="6"/>
    </row>
    <row r="22" spans="1:14" s="2" customFormat="1" ht="15" hidden="1" outlineLevel="3">
      <c r="A22" s="4"/>
      <c r="B22" s="5"/>
      <c r="C22" s="5" t="s">
        <v>63</v>
      </c>
      <c r="D22" s="5"/>
      <c r="E22" s="5">
        <v>-1</v>
      </c>
      <c r="F22" s="5">
        <f>5.9-1.25</f>
        <v>4.65</v>
      </c>
      <c r="G22" s="5"/>
      <c r="H22" s="5">
        <v>1.2</v>
      </c>
      <c r="I22" s="5"/>
      <c r="J22" s="5">
        <f>ROUND(PRODUCT(E22:I22),3)</f>
        <v>-5.58</v>
      </c>
      <c r="K22" s="5"/>
      <c r="L22" s="18"/>
      <c r="M22" s="18"/>
      <c r="N22" s="6"/>
    </row>
    <row r="23" spans="1:14" s="2" customFormat="1" ht="15" hidden="1" outlineLevel="3">
      <c r="A23" s="4">
        <f>IF(B23="","",COUNTA($B$9:$B23))</f>
      </c>
      <c r="B23" s="5"/>
      <c r="C23" s="5" t="s">
        <v>66</v>
      </c>
      <c r="D23" s="5"/>
      <c r="E23" s="5">
        <v>1</v>
      </c>
      <c r="F23" s="5">
        <v>1.4</v>
      </c>
      <c r="G23" s="5"/>
      <c r="H23" s="5">
        <v>2.8</v>
      </c>
      <c r="I23" s="5"/>
      <c r="J23" s="5">
        <f>ROUND(PRODUCT(E23:I23),3)</f>
        <v>3.92</v>
      </c>
      <c r="K23" s="5"/>
      <c r="L23" s="18"/>
      <c r="M23" s="18"/>
      <c r="N23" s="6"/>
    </row>
    <row r="24" spans="1:14" s="2" customFormat="1" ht="15" hidden="1" outlineLevel="3">
      <c r="A24" s="4"/>
      <c r="B24" s="5"/>
      <c r="C24" s="5"/>
      <c r="D24" s="5"/>
      <c r="E24" s="5">
        <v>1</v>
      </c>
      <c r="F24" s="5">
        <v>1.59</v>
      </c>
      <c r="G24" s="5"/>
      <c r="H24" s="5">
        <v>2.2</v>
      </c>
      <c r="I24" s="5"/>
      <c r="J24" s="5">
        <f>ROUND(PRODUCT(E24:I24),3)</f>
        <v>3.498</v>
      </c>
      <c r="K24" s="5"/>
      <c r="L24" s="18"/>
      <c r="M24" s="18"/>
      <c r="N24" s="6"/>
    </row>
    <row r="25" spans="1:14" s="2" customFormat="1" ht="15" hidden="1" outlineLevel="3">
      <c r="A25" s="4">
        <f>IF(B25="","",COUNTA($B$9:$B25))</f>
      </c>
      <c r="B25" s="5"/>
      <c r="C25" s="5" t="s">
        <v>67</v>
      </c>
      <c r="D25" s="5"/>
      <c r="E25" s="5">
        <v>2</v>
      </c>
      <c r="F25" s="5">
        <v>1.25</v>
      </c>
      <c r="G25" s="5"/>
      <c r="H25" s="5">
        <v>1.6</v>
      </c>
      <c r="I25" s="5"/>
      <c r="J25" s="5">
        <f>ROUND(PRODUCT(E25:I25),3)</f>
        <v>4</v>
      </c>
      <c r="K25" s="5"/>
      <c r="L25" s="18"/>
      <c r="M25" s="18"/>
      <c r="N25" s="6"/>
    </row>
    <row r="26" spans="1:14" s="2" customFormat="1" ht="15" hidden="1" outlineLevel="3">
      <c r="A26" s="4">
        <f>IF(B26="","",COUNTA($B$9:$B26))</f>
      </c>
      <c r="B26" s="5"/>
      <c r="C26" s="5" t="s">
        <v>70</v>
      </c>
      <c r="D26" s="5"/>
      <c r="E26" s="5"/>
      <c r="F26" s="5"/>
      <c r="G26" s="5"/>
      <c r="H26" s="5"/>
      <c r="I26" s="5"/>
      <c r="J26" s="5"/>
      <c r="K26" s="5"/>
      <c r="L26" s="18"/>
      <c r="M26" s="18"/>
      <c r="N26" s="6"/>
    </row>
    <row r="27" spans="1:14" s="2" customFormat="1" ht="15" hidden="1" outlineLevel="3">
      <c r="A27" s="4">
        <f>IF(B27="","",COUNTA($B$9:$B27))</f>
      </c>
      <c r="B27" s="5"/>
      <c r="C27" s="5" t="s">
        <v>65</v>
      </c>
      <c r="D27" s="5"/>
      <c r="E27" s="5">
        <v>2</v>
      </c>
      <c r="F27" s="5">
        <v>2.9</v>
      </c>
      <c r="G27" s="5"/>
      <c r="H27" s="5">
        <v>3.4</v>
      </c>
      <c r="I27" s="5"/>
      <c r="J27" s="5">
        <f>ROUND(PRODUCT(E27:I27),3)</f>
        <v>19.72</v>
      </c>
      <c r="K27" s="5"/>
      <c r="L27" s="18"/>
      <c r="M27" s="18"/>
      <c r="N27" s="6"/>
    </row>
    <row r="28" spans="1:14" s="2" customFormat="1" ht="15" hidden="1" outlineLevel="3">
      <c r="A28" s="4"/>
      <c r="B28" s="5"/>
      <c r="C28" s="5" t="s">
        <v>63</v>
      </c>
      <c r="D28" s="5"/>
      <c r="E28" s="5">
        <v>-1</v>
      </c>
      <c r="F28" s="5">
        <f>2.9-1.25</f>
        <v>1.65</v>
      </c>
      <c r="G28" s="5"/>
      <c r="H28" s="5">
        <v>1.2</v>
      </c>
      <c r="I28" s="5"/>
      <c r="J28" s="5">
        <f>ROUND(PRODUCT(E28:I28),3)</f>
        <v>-1.98</v>
      </c>
      <c r="K28" s="5"/>
      <c r="L28" s="18"/>
      <c r="M28" s="18"/>
      <c r="N28" s="6"/>
    </row>
    <row r="29" spans="1:14" s="2" customFormat="1" ht="15" hidden="1" outlineLevel="3">
      <c r="A29" s="4">
        <f>IF(B29="","",COUNTA($B$9:$B29))</f>
      </c>
      <c r="B29" s="5"/>
      <c r="C29" s="5" t="s">
        <v>66</v>
      </c>
      <c r="D29" s="5"/>
      <c r="E29" s="5">
        <v>1</v>
      </c>
      <c r="F29" s="5">
        <v>1.4</v>
      </c>
      <c r="G29" s="5"/>
      <c r="H29" s="5">
        <v>2.8</v>
      </c>
      <c r="I29" s="5"/>
      <c r="J29" s="5">
        <f>ROUND(PRODUCT(E29:I29),3)</f>
        <v>3.92</v>
      </c>
      <c r="K29" s="5"/>
      <c r="L29" s="18"/>
      <c r="M29" s="18"/>
      <c r="N29" s="6"/>
    </row>
    <row r="30" spans="1:14" s="2" customFormat="1" ht="15" hidden="1" outlineLevel="3">
      <c r="A30" s="4"/>
      <c r="B30" s="5"/>
      <c r="C30" s="5"/>
      <c r="D30" s="5"/>
      <c r="E30" s="5">
        <v>1</v>
      </c>
      <c r="F30" s="5">
        <v>1.59</v>
      </c>
      <c r="G30" s="5"/>
      <c r="H30" s="5">
        <v>2.2</v>
      </c>
      <c r="I30" s="5"/>
      <c r="J30" s="5">
        <f>ROUND(PRODUCT(E30:I30),3)</f>
        <v>3.498</v>
      </c>
      <c r="K30" s="5"/>
      <c r="L30" s="18"/>
      <c r="M30" s="18"/>
      <c r="N30" s="6"/>
    </row>
    <row r="31" spans="1:14" s="2" customFormat="1" ht="15" hidden="1" outlineLevel="3">
      <c r="A31" s="4">
        <f>IF(B31="","",COUNTA($B$9:$B31))</f>
      </c>
      <c r="B31" s="5"/>
      <c r="C31" s="5" t="s">
        <v>67</v>
      </c>
      <c r="D31" s="5"/>
      <c r="E31" s="5">
        <v>1</v>
      </c>
      <c r="F31" s="5">
        <v>1.25</v>
      </c>
      <c r="G31" s="5"/>
      <c r="H31" s="5">
        <v>1.6</v>
      </c>
      <c r="I31" s="5"/>
      <c r="J31" s="5">
        <f>ROUND(PRODUCT(E31:I31),3)</f>
        <v>2</v>
      </c>
      <c r="K31" s="5"/>
      <c r="L31" s="18"/>
      <c r="M31" s="18"/>
      <c r="N31" s="6"/>
    </row>
    <row r="32" spans="1:14" s="2" customFormat="1" ht="15" hidden="1" outlineLevel="3">
      <c r="A32" s="4">
        <f>IF(B32="","",COUNTA($B$9:$B32))</f>
      </c>
      <c r="B32" s="5"/>
      <c r="C32" s="5" t="s">
        <v>71</v>
      </c>
      <c r="D32" s="5"/>
      <c r="E32" s="5"/>
      <c r="F32" s="5"/>
      <c r="G32" s="5"/>
      <c r="H32" s="5"/>
      <c r="I32" s="5"/>
      <c r="J32" s="5"/>
      <c r="K32" s="5"/>
      <c r="L32" s="18"/>
      <c r="M32" s="18"/>
      <c r="N32" s="6"/>
    </row>
    <row r="33" spans="1:14" s="2" customFormat="1" ht="15" hidden="1" outlineLevel="3">
      <c r="A33" s="4">
        <f>IF(B33="","",COUNTA($B$9:$B33))</f>
      </c>
      <c r="B33" s="5"/>
      <c r="C33" s="5" t="s">
        <v>65</v>
      </c>
      <c r="D33" s="5"/>
      <c r="E33" s="5">
        <v>1</v>
      </c>
      <c r="F33" s="5">
        <v>9</v>
      </c>
      <c r="G33" s="5"/>
      <c r="H33" s="5">
        <v>3.4</v>
      </c>
      <c r="I33" s="5"/>
      <c r="J33" s="5">
        <f>ROUND(PRODUCT(E33:I33),3)</f>
        <v>30.6</v>
      </c>
      <c r="K33" s="5"/>
      <c r="L33" s="18"/>
      <c r="M33" s="18"/>
      <c r="N33" s="6"/>
    </row>
    <row r="34" spans="1:14" s="2" customFormat="1" ht="15" hidden="1" outlineLevel="3">
      <c r="A34" s="4"/>
      <c r="B34" s="5"/>
      <c r="C34" s="5" t="s">
        <v>63</v>
      </c>
      <c r="D34" s="5"/>
      <c r="E34" s="5">
        <v>-1</v>
      </c>
      <c r="F34" s="5">
        <f>9-1.25</f>
        <v>7.75</v>
      </c>
      <c r="G34" s="5"/>
      <c r="H34" s="5">
        <v>1.2</v>
      </c>
      <c r="I34" s="5"/>
      <c r="J34" s="5">
        <f>ROUND(PRODUCT(E34:I34),3)</f>
        <v>-9.3</v>
      </c>
      <c r="K34" s="5"/>
      <c r="L34" s="18"/>
      <c r="M34" s="18"/>
      <c r="N34" s="6"/>
    </row>
    <row r="35" spans="1:14" s="2" customFormat="1" ht="15" hidden="1" outlineLevel="3">
      <c r="A35" s="4">
        <f>IF(B35="","",COUNTA($B$9:$B35))</f>
      </c>
      <c r="B35" s="5"/>
      <c r="C35" s="5" t="s">
        <v>66</v>
      </c>
      <c r="D35" s="5"/>
      <c r="E35" s="5">
        <v>2</v>
      </c>
      <c r="F35" s="5">
        <v>1.4</v>
      </c>
      <c r="G35" s="5"/>
      <c r="H35" s="5">
        <v>2.8</v>
      </c>
      <c r="I35" s="5"/>
      <c r="J35" s="5">
        <f>ROUND(PRODUCT(E35:I35),3)</f>
        <v>7.84</v>
      </c>
      <c r="K35" s="5"/>
      <c r="L35" s="18"/>
      <c r="M35" s="18"/>
      <c r="N35" s="6"/>
    </row>
    <row r="36" spans="1:14" s="2" customFormat="1" ht="15" hidden="1" outlineLevel="3">
      <c r="A36" s="4">
        <f>IF(B36="","",COUNTA($B$9:$B36))</f>
      </c>
      <c r="B36" s="5"/>
      <c r="C36" s="5" t="s">
        <v>67</v>
      </c>
      <c r="D36" s="5"/>
      <c r="E36" s="5">
        <v>5</v>
      </c>
      <c r="F36" s="5">
        <v>1.25</v>
      </c>
      <c r="G36" s="5"/>
      <c r="H36" s="5">
        <v>1.6</v>
      </c>
      <c r="I36" s="5"/>
      <c r="J36" s="5">
        <f>ROUND(PRODUCT(E36:I36),3)</f>
        <v>10</v>
      </c>
      <c r="K36" s="5"/>
      <c r="L36" s="18"/>
      <c r="M36" s="18"/>
      <c r="N36" s="6"/>
    </row>
    <row r="37" spans="1:14" s="2" customFormat="1" ht="15" hidden="1" outlineLevel="3">
      <c r="A37" s="4">
        <f>IF(B37="","",COUNTA($B$9:$B37))</f>
      </c>
      <c r="B37" s="5"/>
      <c r="C37" s="5" t="s">
        <v>72</v>
      </c>
      <c r="D37" s="5"/>
      <c r="E37" s="5"/>
      <c r="F37" s="5"/>
      <c r="G37" s="5"/>
      <c r="H37" s="5"/>
      <c r="I37" s="5"/>
      <c r="J37" s="5"/>
      <c r="K37" s="5"/>
      <c r="L37" s="18"/>
      <c r="M37" s="18"/>
      <c r="N37" s="6"/>
    </row>
    <row r="38" spans="1:14" s="2" customFormat="1" ht="15" hidden="1" outlineLevel="3">
      <c r="A38" s="4">
        <f>IF(B38="","",COUNTA($B$9:$B38))</f>
      </c>
      <c r="B38" s="5"/>
      <c r="C38" s="5" t="s">
        <v>76</v>
      </c>
      <c r="D38" s="5"/>
      <c r="E38" s="5">
        <v>1</v>
      </c>
      <c r="F38" s="5">
        <v>6.6</v>
      </c>
      <c r="G38" s="5"/>
      <c r="H38" s="5">
        <f>3.4-1.2</f>
        <v>2.2</v>
      </c>
      <c r="I38" s="5"/>
      <c r="J38" s="5">
        <f>ROUND(PRODUCT(E38:I38),3)</f>
        <v>14.52</v>
      </c>
      <c r="K38" s="5"/>
      <c r="L38" s="18"/>
      <c r="M38" s="18"/>
      <c r="N38" s="6"/>
    </row>
    <row r="39" spans="1:14" s="2" customFormat="1" ht="15" hidden="1" outlineLevel="3">
      <c r="A39" s="4">
        <f>IF(B39="","",COUNTA($B$9:$B39))</f>
      </c>
      <c r="B39" s="5"/>
      <c r="C39" s="5" t="s">
        <v>65</v>
      </c>
      <c r="D39" s="5"/>
      <c r="E39" s="5">
        <v>1</v>
      </c>
      <c r="F39" s="5">
        <v>3.5</v>
      </c>
      <c r="G39" s="5"/>
      <c r="H39" s="5">
        <f>3.4</f>
        <v>3.4</v>
      </c>
      <c r="I39" s="5"/>
      <c r="J39" s="5">
        <f>ROUND(PRODUCT(E39:I39),3)</f>
        <v>11.9</v>
      </c>
      <c r="K39" s="5"/>
      <c r="L39" s="18"/>
      <c r="M39" s="18"/>
      <c r="N39" s="6"/>
    </row>
    <row r="40" spans="1:14" s="2" customFormat="1" ht="15" hidden="1" outlineLevel="3">
      <c r="A40" s="4"/>
      <c r="B40" s="5"/>
      <c r="C40" s="5" t="s">
        <v>63</v>
      </c>
      <c r="D40" s="5"/>
      <c r="E40" s="5">
        <v>-1</v>
      </c>
      <c r="F40" s="5">
        <f>3.5-1.25</f>
        <v>2.25</v>
      </c>
      <c r="G40" s="5"/>
      <c r="H40" s="5">
        <v>1.2</v>
      </c>
      <c r="I40" s="5"/>
      <c r="J40" s="5">
        <f>ROUND(PRODUCT(E40:I40),3)</f>
        <v>-2.7</v>
      </c>
      <c r="K40" s="5"/>
      <c r="L40" s="18"/>
      <c r="M40" s="18"/>
      <c r="N40" s="6"/>
    </row>
    <row r="41" spans="1:14" s="2" customFormat="1" ht="15" hidden="1" outlineLevel="3">
      <c r="A41" s="4">
        <f>IF(B41="","",COUNTA($B$9:$B41))</f>
      </c>
      <c r="B41" s="5"/>
      <c r="C41" s="5" t="s">
        <v>66</v>
      </c>
      <c r="D41" s="5"/>
      <c r="E41" s="5">
        <v>1</v>
      </c>
      <c r="F41" s="5">
        <v>1.4</v>
      </c>
      <c r="G41" s="5"/>
      <c r="H41" s="5">
        <v>2.8</v>
      </c>
      <c r="I41" s="5"/>
      <c r="J41" s="5">
        <f>ROUND(PRODUCT(E41:I41),3)</f>
        <v>3.92</v>
      </c>
      <c r="K41" s="5"/>
      <c r="L41" s="18"/>
      <c r="M41" s="18"/>
      <c r="N41" s="6"/>
    </row>
    <row r="42" spans="1:14" s="2" customFormat="1" ht="15" hidden="1" outlineLevel="3">
      <c r="A42" s="4">
        <f>IF(B42="","",COUNTA($B$9:$B42))</f>
      </c>
      <c r="B42" s="5"/>
      <c r="C42" s="5" t="s">
        <v>67</v>
      </c>
      <c r="D42" s="5"/>
      <c r="E42" s="5">
        <v>1</v>
      </c>
      <c r="F42" s="5">
        <v>1.25</v>
      </c>
      <c r="G42" s="5"/>
      <c r="H42" s="5">
        <v>1.6</v>
      </c>
      <c r="I42" s="5"/>
      <c r="J42" s="5">
        <f>ROUND(PRODUCT(E42:I42),3)</f>
        <v>2</v>
      </c>
      <c r="K42" s="5"/>
      <c r="L42" s="18"/>
      <c r="M42" s="18"/>
      <c r="N42" s="6"/>
    </row>
    <row r="43" spans="1:14" s="2" customFormat="1" ht="15" hidden="1" outlineLevel="3">
      <c r="A43" s="4">
        <f>IF(B43="","",COUNTA($B$9:$B43))</f>
      </c>
      <c r="B43" s="5"/>
      <c r="C43" s="5" t="s">
        <v>73</v>
      </c>
      <c r="D43" s="5"/>
      <c r="E43" s="5"/>
      <c r="F43" s="5"/>
      <c r="G43" s="5"/>
      <c r="H43" s="5"/>
      <c r="I43" s="5"/>
      <c r="J43" s="5"/>
      <c r="K43" s="5"/>
      <c r="L43" s="18"/>
      <c r="M43" s="18"/>
      <c r="N43" s="6"/>
    </row>
    <row r="44" spans="1:14" s="2" customFormat="1" ht="15" hidden="1" outlineLevel="3">
      <c r="A44" s="4">
        <f>IF(B44="","",COUNTA($B$9:$B44))</f>
      </c>
      <c r="B44" s="5"/>
      <c r="C44" s="5" t="s">
        <v>75</v>
      </c>
      <c r="D44" s="5"/>
      <c r="E44" s="5">
        <v>1</v>
      </c>
      <c r="F44" s="5">
        <v>4.6</v>
      </c>
      <c r="G44" s="5"/>
      <c r="H44" s="5">
        <f>3.4-1.2</f>
        <v>2.2</v>
      </c>
      <c r="I44" s="5"/>
      <c r="J44" s="5">
        <f>ROUND(PRODUCT(E44:I44),3)</f>
        <v>10.12</v>
      </c>
      <c r="K44" s="5"/>
      <c r="L44" s="18"/>
      <c r="M44" s="18"/>
      <c r="N44" s="6"/>
    </row>
    <row r="45" spans="1:14" s="2" customFormat="1" ht="15" hidden="1" outlineLevel="3">
      <c r="A45" s="4">
        <f>IF(B45="","",COUNTA($B$9:$B45))</f>
      </c>
      <c r="B45" s="5"/>
      <c r="C45" s="5" t="s">
        <v>65</v>
      </c>
      <c r="D45" s="5"/>
      <c r="E45" s="5">
        <v>1</v>
      </c>
      <c r="F45" s="5">
        <v>2.4</v>
      </c>
      <c r="G45" s="5"/>
      <c r="H45" s="5">
        <f>3.4</f>
        <v>3.4</v>
      </c>
      <c r="I45" s="5"/>
      <c r="J45" s="5">
        <f>ROUND(PRODUCT(E45:I45),3)</f>
        <v>8.16</v>
      </c>
      <c r="K45" s="5"/>
      <c r="L45" s="18"/>
      <c r="M45" s="18"/>
      <c r="N45" s="6"/>
    </row>
    <row r="46" spans="1:14" s="2" customFormat="1" ht="15" hidden="1" outlineLevel="3">
      <c r="A46" s="4"/>
      <c r="B46" s="5"/>
      <c r="C46" s="5" t="s">
        <v>63</v>
      </c>
      <c r="D46" s="5"/>
      <c r="E46" s="5">
        <v>-1</v>
      </c>
      <c r="F46" s="5">
        <f>2.4-1.25</f>
        <v>1.15</v>
      </c>
      <c r="G46" s="5"/>
      <c r="H46" s="5">
        <v>1.2</v>
      </c>
      <c r="I46" s="5"/>
      <c r="J46" s="5">
        <f>ROUND(PRODUCT(E46:I46),3)</f>
        <v>-1.38</v>
      </c>
      <c r="K46" s="5"/>
      <c r="L46" s="18"/>
      <c r="M46" s="18"/>
      <c r="N46" s="6"/>
    </row>
    <row r="47" spans="1:14" s="2" customFormat="1" ht="15" hidden="1" outlineLevel="3">
      <c r="A47" s="4">
        <f>IF(B47="","",COUNTA($B$9:$B47))</f>
      </c>
      <c r="B47" s="5"/>
      <c r="C47" s="5" t="s">
        <v>67</v>
      </c>
      <c r="D47" s="5"/>
      <c r="E47" s="5">
        <v>1</v>
      </c>
      <c r="F47" s="5">
        <v>1.25</v>
      </c>
      <c r="G47" s="5"/>
      <c r="H47" s="5">
        <v>1.6</v>
      </c>
      <c r="I47" s="5"/>
      <c r="J47" s="5">
        <f>ROUND(PRODUCT(E47:I47),3)</f>
        <v>2</v>
      </c>
      <c r="K47" s="5"/>
      <c r="L47" s="18"/>
      <c r="M47" s="18"/>
      <c r="N47" s="6"/>
    </row>
    <row r="48" spans="1:14" s="2" customFormat="1" ht="15" hidden="1" outlineLevel="3">
      <c r="A48" s="4">
        <f>IF(B48="","",COUNTA($B$9:$B48))</f>
      </c>
      <c r="B48" s="5"/>
      <c r="C48" s="5" t="s">
        <v>74</v>
      </c>
      <c r="D48" s="5"/>
      <c r="E48" s="5"/>
      <c r="F48" s="5"/>
      <c r="G48" s="5"/>
      <c r="H48" s="5"/>
      <c r="I48" s="5"/>
      <c r="J48" s="5"/>
      <c r="K48" s="5"/>
      <c r="L48" s="18"/>
      <c r="M48" s="18"/>
      <c r="N48" s="6"/>
    </row>
    <row r="49" spans="1:14" s="2" customFormat="1" ht="15" hidden="1" outlineLevel="3">
      <c r="A49" s="4">
        <f>IF(B49="","",COUNTA($B$9:$B49))</f>
      </c>
      <c r="B49" s="5"/>
      <c r="C49" s="5" t="s">
        <v>77</v>
      </c>
      <c r="D49" s="5"/>
      <c r="E49" s="5">
        <v>1</v>
      </c>
      <c r="F49" s="5">
        <v>4.6</v>
      </c>
      <c r="G49" s="5"/>
      <c r="H49" s="5">
        <f>3.4-1.2</f>
        <v>2.2</v>
      </c>
      <c r="I49" s="5"/>
      <c r="J49" s="5">
        <f>ROUND(PRODUCT(E49:I49),3)</f>
        <v>10.12</v>
      </c>
      <c r="K49" s="5"/>
      <c r="L49" s="18"/>
      <c r="M49" s="18"/>
      <c r="N49" s="6"/>
    </row>
    <row r="50" spans="1:14" s="2" customFormat="1" ht="15" hidden="1" outlineLevel="3">
      <c r="A50" s="4">
        <f>IF(B50="","",COUNTA($B$9:$B50))</f>
      </c>
      <c r="B50" s="5"/>
      <c r="C50" s="5" t="s">
        <v>65</v>
      </c>
      <c r="D50" s="5"/>
      <c r="E50" s="5">
        <v>1</v>
      </c>
      <c r="F50" s="5">
        <v>3.7</v>
      </c>
      <c r="G50" s="5"/>
      <c r="H50" s="5">
        <f>3.4</f>
        <v>3.4</v>
      </c>
      <c r="I50" s="5"/>
      <c r="J50" s="5">
        <f>ROUND(PRODUCT(E50:I50),3)</f>
        <v>12.58</v>
      </c>
      <c r="K50" s="5"/>
      <c r="L50" s="18"/>
      <c r="M50" s="18"/>
      <c r="N50" s="6"/>
    </row>
    <row r="51" spans="1:14" s="2" customFormat="1" ht="15" hidden="1" outlineLevel="3">
      <c r="A51" s="4"/>
      <c r="B51" s="5"/>
      <c r="C51" s="5" t="s">
        <v>63</v>
      </c>
      <c r="D51" s="5"/>
      <c r="E51" s="5">
        <v>-1</v>
      </c>
      <c r="F51" s="5">
        <f>3.7-1.25</f>
        <v>2.45</v>
      </c>
      <c r="G51" s="5"/>
      <c r="H51" s="5">
        <v>1.2</v>
      </c>
      <c r="I51" s="5"/>
      <c r="J51" s="5">
        <f>ROUND(PRODUCT(E51:I51),3)</f>
        <v>-2.94</v>
      </c>
      <c r="K51" s="5"/>
      <c r="L51" s="18"/>
      <c r="M51" s="18"/>
      <c r="N51" s="6"/>
    </row>
    <row r="52" spans="1:14" s="2" customFormat="1" ht="15" hidden="1" outlineLevel="3">
      <c r="A52" s="4">
        <f>IF(B52="","",COUNTA($B$9:$B52))</f>
      </c>
      <c r="B52" s="5"/>
      <c r="C52" s="5" t="s">
        <v>66</v>
      </c>
      <c r="D52" s="5"/>
      <c r="E52" s="5">
        <v>1</v>
      </c>
      <c r="F52" s="5">
        <v>1.4</v>
      </c>
      <c r="G52" s="5"/>
      <c r="H52" s="5">
        <v>2.8</v>
      </c>
      <c r="I52" s="5"/>
      <c r="J52" s="5">
        <f>ROUND(PRODUCT(E52:I52),3)</f>
        <v>3.92</v>
      </c>
      <c r="K52" s="5"/>
      <c r="L52" s="18"/>
      <c r="M52" s="18"/>
      <c r="N52" s="6"/>
    </row>
    <row r="53" spans="1:14" s="2" customFormat="1" ht="15" hidden="1" outlineLevel="3">
      <c r="A53" s="4">
        <f>IF(B53="","",COUNTA($B$9:$B53))</f>
      </c>
      <c r="B53" s="5"/>
      <c r="C53" s="5" t="s">
        <v>78</v>
      </c>
      <c r="D53" s="5"/>
      <c r="E53" s="5"/>
      <c r="F53" s="5"/>
      <c r="G53" s="5"/>
      <c r="H53" s="5"/>
      <c r="I53" s="5"/>
      <c r="J53" s="5"/>
      <c r="K53" s="5"/>
      <c r="L53" s="18"/>
      <c r="M53" s="18"/>
      <c r="N53" s="6"/>
    </row>
    <row r="54" spans="1:14" s="2" customFormat="1" ht="15" hidden="1" outlineLevel="3">
      <c r="A54" s="4">
        <f>IF(B54="","",COUNTA($B$9:$B54))</f>
      </c>
      <c r="B54" s="5"/>
      <c r="C54" s="5" t="s">
        <v>77</v>
      </c>
      <c r="D54" s="5"/>
      <c r="E54" s="5">
        <v>6</v>
      </c>
      <c r="F54" s="5">
        <v>4.6</v>
      </c>
      <c r="G54" s="5"/>
      <c r="H54" s="5">
        <f>3.4-1.2</f>
        <v>2.2</v>
      </c>
      <c r="I54" s="5"/>
      <c r="J54" s="5">
        <f>ROUND(PRODUCT(E54:I54),3)</f>
        <v>60.72</v>
      </c>
      <c r="K54" s="5"/>
      <c r="L54" s="18"/>
      <c r="M54" s="18"/>
      <c r="N54" s="6"/>
    </row>
    <row r="55" spans="1:14" s="2" customFormat="1" ht="15" hidden="1" outlineLevel="3">
      <c r="A55" s="4">
        <f>IF(B55="","",COUNTA($B$9:$B55))</f>
      </c>
      <c r="B55" s="5"/>
      <c r="C55" s="5" t="s">
        <v>65</v>
      </c>
      <c r="D55" s="5"/>
      <c r="E55" s="5">
        <v>6</v>
      </c>
      <c r="F55" s="5">
        <v>3.6</v>
      </c>
      <c r="G55" s="5"/>
      <c r="H55" s="5">
        <f>3.4</f>
        <v>3.4</v>
      </c>
      <c r="I55" s="5"/>
      <c r="J55" s="5">
        <f>ROUND(PRODUCT(E55:I55),3)</f>
        <v>73.44</v>
      </c>
      <c r="K55" s="5"/>
      <c r="L55" s="18"/>
      <c r="M55" s="18"/>
      <c r="N55" s="6"/>
    </row>
    <row r="56" spans="1:14" s="2" customFormat="1" ht="15" hidden="1" outlineLevel="3">
      <c r="A56" s="4"/>
      <c r="B56" s="5"/>
      <c r="C56" s="5" t="s">
        <v>63</v>
      </c>
      <c r="D56" s="5"/>
      <c r="E56" s="5">
        <v>-6</v>
      </c>
      <c r="F56" s="5">
        <f>3.6-1.25</f>
        <v>2.35</v>
      </c>
      <c r="G56" s="5"/>
      <c r="H56" s="5">
        <v>1.2</v>
      </c>
      <c r="I56" s="5"/>
      <c r="J56" s="5">
        <f>ROUND(PRODUCT(E56:I56),3)</f>
        <v>-16.92</v>
      </c>
      <c r="K56" s="5"/>
      <c r="L56" s="18"/>
      <c r="M56" s="18"/>
      <c r="N56" s="6"/>
    </row>
    <row r="57" spans="1:14" s="2" customFormat="1" ht="15" hidden="1" outlineLevel="3">
      <c r="A57" s="4">
        <f>IF(B57="","",COUNTA($B$9:$B57))</f>
      </c>
      <c r="B57" s="5"/>
      <c r="C57" s="5" t="s">
        <v>79</v>
      </c>
      <c r="D57" s="5"/>
      <c r="E57" s="5"/>
      <c r="F57" s="5"/>
      <c r="G57" s="5"/>
      <c r="H57" s="5"/>
      <c r="I57" s="5"/>
      <c r="J57" s="5"/>
      <c r="K57" s="5"/>
      <c r="L57" s="18"/>
      <c r="M57" s="18"/>
      <c r="N57" s="6"/>
    </row>
    <row r="58" spans="1:14" s="2" customFormat="1" ht="15" hidden="1" outlineLevel="3">
      <c r="A58" s="4">
        <f>IF(B58="","",COUNTA($B$9:$B58))</f>
      </c>
      <c r="B58" s="5"/>
      <c r="C58" s="5" t="s">
        <v>65</v>
      </c>
      <c r="D58" s="5"/>
      <c r="E58" s="5">
        <v>1</v>
      </c>
      <c r="F58" s="5">
        <v>3.6</v>
      </c>
      <c r="G58" s="5"/>
      <c r="H58" s="5">
        <f>3.4</f>
        <v>3.4</v>
      </c>
      <c r="I58" s="5"/>
      <c r="J58" s="5">
        <f>ROUND(PRODUCT(E58:I58),3)</f>
        <v>12.24</v>
      </c>
      <c r="K58" s="5"/>
      <c r="L58" s="18"/>
      <c r="M58" s="18"/>
      <c r="N58" s="6"/>
    </row>
    <row r="59" spans="1:14" s="2" customFormat="1" ht="15" hidden="1" outlineLevel="3">
      <c r="A59" s="4"/>
      <c r="B59" s="5"/>
      <c r="C59" s="5" t="s">
        <v>63</v>
      </c>
      <c r="D59" s="5"/>
      <c r="E59" s="5">
        <v>-1</v>
      </c>
      <c r="F59" s="5">
        <f>3.6-1.25</f>
        <v>2.35</v>
      </c>
      <c r="G59" s="5"/>
      <c r="H59" s="5">
        <v>1.2</v>
      </c>
      <c r="I59" s="5"/>
      <c r="J59" s="5">
        <f>ROUND(PRODUCT(E59:I59),3)</f>
        <v>-2.82</v>
      </c>
      <c r="K59" s="5"/>
      <c r="L59" s="18"/>
      <c r="M59" s="18"/>
      <c r="N59" s="6"/>
    </row>
    <row r="60" spans="1:14" s="2" customFormat="1" ht="15" hidden="1" outlineLevel="3">
      <c r="A60" s="4">
        <f>IF(B60="","",COUNTA($B$9:$B60))</f>
      </c>
      <c r="B60" s="5"/>
      <c r="C60" s="5" t="s">
        <v>66</v>
      </c>
      <c r="D60" s="5"/>
      <c r="E60" s="5">
        <v>1</v>
      </c>
      <c r="F60" s="5">
        <v>1.4</v>
      </c>
      <c r="G60" s="5"/>
      <c r="H60" s="5">
        <v>2.8</v>
      </c>
      <c r="I60" s="5"/>
      <c r="J60" s="5">
        <f>ROUND(PRODUCT(E60:I60),3)</f>
        <v>3.92</v>
      </c>
      <c r="K60" s="5"/>
      <c r="L60" s="18"/>
      <c r="M60" s="18"/>
      <c r="N60" s="6"/>
    </row>
    <row r="61" spans="1:14" s="2" customFormat="1" ht="15" hidden="1" outlineLevel="3">
      <c r="A61" s="4">
        <f>IF(B61="","",COUNTA($B$9:$B61))</f>
      </c>
      <c r="B61" s="5"/>
      <c r="C61" s="5" t="s">
        <v>80</v>
      </c>
      <c r="D61" s="5"/>
      <c r="E61" s="5"/>
      <c r="F61" s="5"/>
      <c r="G61" s="5"/>
      <c r="H61" s="5"/>
      <c r="I61" s="5"/>
      <c r="J61" s="5"/>
      <c r="K61" s="5"/>
      <c r="L61" s="18"/>
      <c r="M61" s="18"/>
      <c r="N61" s="6"/>
    </row>
    <row r="62" spans="1:14" s="2" customFormat="1" ht="15" hidden="1" outlineLevel="3">
      <c r="A62" s="4">
        <f>IF(B62="","",COUNTA($B$9:$B62))</f>
      </c>
      <c r="B62" s="5"/>
      <c r="C62" s="5" t="s">
        <v>66</v>
      </c>
      <c r="D62" s="5"/>
      <c r="E62" s="5">
        <v>3</v>
      </c>
      <c r="F62" s="5">
        <v>1.4</v>
      </c>
      <c r="G62" s="5"/>
      <c r="H62" s="5">
        <v>2.8</v>
      </c>
      <c r="I62" s="5"/>
      <c r="J62" s="5">
        <f>ROUND(PRODUCT(E62:I62),3)</f>
        <v>11.76</v>
      </c>
      <c r="K62" s="5"/>
      <c r="L62" s="18"/>
      <c r="M62" s="18"/>
      <c r="N62" s="6"/>
    </row>
    <row r="63" spans="1:14" s="2" customFormat="1" ht="15" hidden="1" outlineLevel="3">
      <c r="A63" s="4">
        <f>IF(B63="","",COUNTA($B$9:$B63))</f>
      </c>
      <c r="B63" s="5"/>
      <c r="C63" s="5"/>
      <c r="D63" s="5"/>
      <c r="E63" s="5"/>
      <c r="F63" s="5"/>
      <c r="G63" s="5"/>
      <c r="H63" s="5"/>
      <c r="I63" s="5"/>
      <c r="J63" s="5"/>
      <c r="K63" s="5"/>
      <c r="L63" s="18"/>
      <c r="M63" s="18"/>
      <c r="N63" s="6"/>
    </row>
    <row r="64" spans="1:14" s="2" customFormat="1" ht="15" collapsed="1">
      <c r="A64" s="4">
        <f>IF(B64="","",COUNTA($B$9:$B64))</f>
        <v>2</v>
      </c>
      <c r="B64" s="5" t="s">
        <v>37</v>
      </c>
      <c r="C64" s="7" t="s">
        <v>27</v>
      </c>
      <c r="D64" s="5" t="s">
        <v>19</v>
      </c>
      <c r="E64" s="5"/>
      <c r="F64" s="5"/>
      <c r="G64" s="5"/>
      <c r="H64" s="5"/>
      <c r="I64" s="5"/>
      <c r="J64" s="5"/>
      <c r="K64" s="5">
        <f>SUM(J65:J74)</f>
        <v>627.9</v>
      </c>
      <c r="L64" s="18">
        <v>15000</v>
      </c>
      <c r="M64" s="18">
        <f>K64*L64</f>
        <v>9418500</v>
      </c>
      <c r="N64" s="6"/>
    </row>
    <row r="65" spans="1:14" s="2" customFormat="1" ht="15" hidden="1" outlineLevel="2">
      <c r="A65" s="4">
        <f>IF(B65="","",COUNTA($B$9:$B65))</f>
      </c>
      <c r="B65" s="5"/>
      <c r="C65" s="5" t="s">
        <v>81</v>
      </c>
      <c r="D65" s="5"/>
      <c r="E65" s="5">
        <v>1</v>
      </c>
      <c r="F65" s="5">
        <f>3.7+4</f>
        <v>7.7</v>
      </c>
      <c r="G65" s="5">
        <v>6.3</v>
      </c>
      <c r="H65" s="5"/>
      <c r="I65" s="5"/>
      <c r="J65" s="5">
        <f aca="true" t="shared" si="0" ref="J65:J73">ROUND(PRODUCT(E65:I65),3)</f>
        <v>48.51</v>
      </c>
      <c r="K65" s="5"/>
      <c r="L65" s="18"/>
      <c r="M65" s="18"/>
      <c r="N65" s="6"/>
    </row>
    <row r="66" spans="1:14" s="2" customFormat="1" ht="15" hidden="1" outlineLevel="2">
      <c r="A66" s="4">
        <f>IF(B66="","",COUNTA($B$9:$B66))</f>
      </c>
      <c r="B66" s="5"/>
      <c r="C66" s="5" t="s">
        <v>82</v>
      </c>
      <c r="D66" s="5"/>
      <c r="E66" s="5">
        <v>1</v>
      </c>
      <c r="F66" s="5">
        <f>6+4*3+6</f>
        <v>24</v>
      </c>
      <c r="G66" s="5">
        <v>8.3</v>
      </c>
      <c r="H66" s="5"/>
      <c r="I66" s="5"/>
      <c r="J66" s="5">
        <f t="shared" si="0"/>
        <v>199.2</v>
      </c>
      <c r="K66" s="5"/>
      <c r="L66" s="18"/>
      <c r="M66" s="18"/>
      <c r="N66" s="6"/>
    </row>
    <row r="67" spans="1:14" s="2" customFormat="1" ht="15" hidden="1" outlineLevel="2">
      <c r="A67" s="4">
        <f>IF(B67="","",COUNTA($B$9:$B67))</f>
      </c>
      <c r="B67" s="5"/>
      <c r="C67" s="5" t="s">
        <v>83</v>
      </c>
      <c r="D67" s="5"/>
      <c r="E67" s="5">
        <v>1</v>
      </c>
      <c r="F67" s="5">
        <f>4+3.7*9</f>
        <v>37.300000000000004</v>
      </c>
      <c r="G67" s="5">
        <v>6.3</v>
      </c>
      <c r="H67" s="5"/>
      <c r="I67" s="5"/>
      <c r="J67" s="5">
        <f t="shared" si="0"/>
        <v>234.99</v>
      </c>
      <c r="K67" s="5"/>
      <c r="L67" s="18"/>
      <c r="M67" s="18"/>
      <c r="N67" s="6"/>
    </row>
    <row r="68" spans="1:14" s="2" customFormat="1" ht="15" hidden="1" outlineLevel="2">
      <c r="A68" s="4"/>
      <c r="B68" s="5"/>
      <c r="C68" s="5" t="s">
        <v>84</v>
      </c>
      <c r="D68" s="5"/>
      <c r="E68" s="5">
        <v>1</v>
      </c>
      <c r="F68" s="5">
        <v>4.2</v>
      </c>
      <c r="G68" s="5">
        <v>8.5</v>
      </c>
      <c r="H68" s="5"/>
      <c r="I68" s="5"/>
      <c r="J68" s="5">
        <f t="shared" si="0"/>
        <v>35.7</v>
      </c>
      <c r="K68" s="5"/>
      <c r="L68" s="18"/>
      <c r="M68" s="18"/>
      <c r="N68" s="6"/>
    </row>
    <row r="69" spans="1:14" s="2" customFormat="1" ht="15" hidden="1" outlineLevel="2">
      <c r="A69" s="4"/>
      <c r="B69" s="5"/>
      <c r="C69" s="5" t="s">
        <v>85</v>
      </c>
      <c r="D69" s="5"/>
      <c r="E69" s="5">
        <v>1</v>
      </c>
      <c r="F69" s="5">
        <v>4</v>
      </c>
      <c r="G69" s="5">
        <v>8.5</v>
      </c>
      <c r="H69" s="5"/>
      <c r="I69" s="5"/>
      <c r="J69" s="5">
        <f t="shared" si="0"/>
        <v>34</v>
      </c>
      <c r="K69" s="5"/>
      <c r="L69" s="18"/>
      <c r="M69" s="18"/>
      <c r="N69" s="6"/>
    </row>
    <row r="70" spans="1:14" s="2" customFormat="1" ht="15" hidden="1" outlineLevel="2">
      <c r="A70" s="4"/>
      <c r="B70" s="5"/>
      <c r="C70" s="5" t="s">
        <v>88</v>
      </c>
      <c r="D70" s="5"/>
      <c r="E70" s="5">
        <v>1</v>
      </c>
      <c r="F70" s="5">
        <v>4.9</v>
      </c>
      <c r="G70" s="5">
        <v>4.5</v>
      </c>
      <c r="H70" s="5"/>
      <c r="I70" s="5"/>
      <c r="J70" s="5">
        <f t="shared" si="0"/>
        <v>22.05</v>
      </c>
      <c r="K70" s="5"/>
      <c r="L70" s="18"/>
      <c r="M70" s="18"/>
      <c r="N70" s="6"/>
    </row>
    <row r="71" spans="1:14" s="2" customFormat="1" ht="15" hidden="1" outlineLevel="2">
      <c r="A71" s="4"/>
      <c r="B71" s="5"/>
      <c r="C71" s="5" t="s">
        <v>87</v>
      </c>
      <c r="D71" s="5"/>
      <c r="E71" s="5">
        <v>1</v>
      </c>
      <c r="F71" s="5">
        <v>4.1</v>
      </c>
      <c r="G71" s="5">
        <v>4.5</v>
      </c>
      <c r="H71" s="5"/>
      <c r="I71" s="5"/>
      <c r="J71" s="5">
        <f t="shared" si="0"/>
        <v>18.45</v>
      </c>
      <c r="K71" s="5"/>
      <c r="L71" s="18"/>
      <c r="M71" s="18"/>
      <c r="N71" s="6"/>
    </row>
    <row r="72" spans="1:14" s="2" customFormat="1" ht="15" hidden="1" outlineLevel="2">
      <c r="A72" s="4"/>
      <c r="B72" s="5"/>
      <c r="C72" s="5" t="s">
        <v>86</v>
      </c>
      <c r="D72" s="5"/>
      <c r="E72" s="5">
        <v>1</v>
      </c>
      <c r="F72" s="5">
        <v>5.6</v>
      </c>
      <c r="G72" s="5">
        <v>4.4</v>
      </c>
      <c r="H72" s="5"/>
      <c r="I72" s="5"/>
      <c r="J72" s="5">
        <f t="shared" si="0"/>
        <v>24.64</v>
      </c>
      <c r="K72" s="5"/>
      <c r="L72" s="18"/>
      <c r="M72" s="18"/>
      <c r="N72" s="6"/>
    </row>
    <row r="73" spans="1:14" s="2" customFormat="1" ht="15" hidden="1" outlineLevel="2">
      <c r="A73" s="4"/>
      <c r="B73" s="5"/>
      <c r="C73" s="5" t="s">
        <v>89</v>
      </c>
      <c r="D73" s="5"/>
      <c r="E73" s="5">
        <v>1</v>
      </c>
      <c r="F73" s="5">
        <v>3.7</v>
      </c>
      <c r="G73" s="5">
        <v>2.8</v>
      </c>
      <c r="H73" s="5"/>
      <c r="I73" s="5"/>
      <c r="J73" s="5">
        <f t="shared" si="0"/>
        <v>10.36</v>
      </c>
      <c r="K73" s="5"/>
      <c r="L73" s="18"/>
      <c r="M73" s="18"/>
      <c r="N73" s="6"/>
    </row>
    <row r="74" spans="1:14" s="2" customFormat="1" ht="15" hidden="1" outlineLevel="2">
      <c r="A74" s="4"/>
      <c r="B74" s="5"/>
      <c r="C74" s="5"/>
      <c r="D74" s="5"/>
      <c r="E74" s="5"/>
      <c r="F74" s="5"/>
      <c r="G74" s="5"/>
      <c r="H74" s="5"/>
      <c r="I74" s="5"/>
      <c r="J74" s="5"/>
      <c r="K74" s="5"/>
      <c r="L74" s="18"/>
      <c r="M74" s="18"/>
      <c r="N74" s="6"/>
    </row>
    <row r="75" spans="1:14" s="2" customFormat="1" ht="15" collapsed="1">
      <c r="A75" s="4">
        <f>IF(B75="","",COUNTA($B$9:$B75))</f>
        <v>3</v>
      </c>
      <c r="B75" s="5" t="s">
        <v>38</v>
      </c>
      <c r="C75" s="7" t="s">
        <v>24</v>
      </c>
      <c r="D75" s="5" t="s">
        <v>16</v>
      </c>
      <c r="E75" s="5"/>
      <c r="F75" s="5"/>
      <c r="G75" s="5"/>
      <c r="H75" s="5"/>
      <c r="I75" s="5"/>
      <c r="J75" s="5"/>
      <c r="K75" s="5">
        <f>SUM(J76:J89)</f>
        <v>21.609</v>
      </c>
      <c r="L75" s="18">
        <v>900000</v>
      </c>
      <c r="M75" s="18">
        <f>K75*L75</f>
        <v>19448100</v>
      </c>
      <c r="N75" s="6"/>
    </row>
    <row r="76" spans="1:14" s="2" customFormat="1" ht="15" hidden="1" outlineLevel="1">
      <c r="A76" s="4"/>
      <c r="B76" s="5"/>
      <c r="C76" s="5"/>
      <c r="D76" s="5"/>
      <c r="E76" s="5"/>
      <c r="F76" s="5"/>
      <c r="G76" s="5"/>
      <c r="H76" s="5"/>
      <c r="I76" s="5"/>
      <c r="J76" s="5">
        <f aca="true" t="shared" si="1" ref="J76:J88">ROUND(PRODUCT(E76:I76),3)</f>
        <v>0</v>
      </c>
      <c r="K76" s="5"/>
      <c r="L76" s="18"/>
      <c r="M76" s="18"/>
      <c r="N76" s="6"/>
    </row>
    <row r="77" spans="1:14" s="2" customFormat="1" ht="15" hidden="1" outlineLevel="1">
      <c r="A77" s="4"/>
      <c r="B77" s="5"/>
      <c r="C77" s="5" t="s">
        <v>90</v>
      </c>
      <c r="D77" s="5"/>
      <c r="E77" s="5"/>
      <c r="F77" s="5">
        <v>21.6085</v>
      </c>
      <c r="G77" s="5"/>
      <c r="H77" s="5"/>
      <c r="I77" s="5"/>
      <c r="J77" s="5">
        <f t="shared" si="1"/>
        <v>21.609</v>
      </c>
      <c r="K77" s="5"/>
      <c r="L77" s="18"/>
      <c r="M77" s="18"/>
      <c r="N77" s="6"/>
    </row>
    <row r="78" spans="1:14" s="2" customFormat="1" ht="15" hidden="1" outlineLevel="1">
      <c r="A78" s="4"/>
      <c r="B78" s="5"/>
      <c r="C78" s="5" t="s">
        <v>91</v>
      </c>
      <c r="D78" s="5"/>
      <c r="E78" s="5"/>
      <c r="F78" s="5"/>
      <c r="G78" s="5"/>
      <c r="H78" s="5"/>
      <c r="I78" s="5"/>
      <c r="J78" s="5">
        <f t="shared" si="1"/>
        <v>0</v>
      </c>
      <c r="K78" s="5"/>
      <c r="L78" s="18"/>
      <c r="M78" s="18"/>
      <c r="N78" s="6"/>
    </row>
    <row r="79" spans="1:14" s="2" customFormat="1" ht="15" hidden="1" outlineLevel="1">
      <c r="A79" s="4"/>
      <c r="B79" s="5"/>
      <c r="C79" s="5" t="s">
        <v>92</v>
      </c>
      <c r="D79" s="5"/>
      <c r="E79" s="5"/>
      <c r="F79" s="5"/>
      <c r="G79" s="5"/>
      <c r="H79" s="5"/>
      <c r="I79" s="5"/>
      <c r="J79" s="5">
        <f t="shared" si="1"/>
        <v>0</v>
      </c>
      <c r="K79" s="5"/>
      <c r="L79" s="18"/>
      <c r="M79" s="18"/>
      <c r="N79" s="6"/>
    </row>
    <row r="80" spans="1:14" s="2" customFormat="1" ht="15" hidden="1" outlineLevel="1">
      <c r="A80" s="4"/>
      <c r="B80" s="5"/>
      <c r="C80" s="5" t="s">
        <v>93</v>
      </c>
      <c r="D80" s="5"/>
      <c r="E80" s="5"/>
      <c r="F80" s="5"/>
      <c r="G80" s="5"/>
      <c r="H80" s="5"/>
      <c r="I80" s="5"/>
      <c r="J80" s="5">
        <f t="shared" si="1"/>
        <v>0</v>
      </c>
      <c r="K80" s="5"/>
      <c r="L80" s="18"/>
      <c r="M80" s="18"/>
      <c r="N80" s="6"/>
    </row>
    <row r="81" spans="1:14" s="2" customFormat="1" ht="15" hidden="1" outlineLevel="1">
      <c r="A81" s="4"/>
      <c r="B81" s="5"/>
      <c r="C81" s="5" t="s">
        <v>94</v>
      </c>
      <c r="D81" s="5"/>
      <c r="E81" s="5"/>
      <c r="F81" s="5"/>
      <c r="G81" s="5"/>
      <c r="H81" s="5"/>
      <c r="I81" s="5"/>
      <c r="J81" s="5">
        <f t="shared" si="1"/>
        <v>0</v>
      </c>
      <c r="K81" s="5"/>
      <c r="L81" s="18"/>
      <c r="M81" s="18"/>
      <c r="N81" s="6"/>
    </row>
    <row r="82" spans="1:14" s="2" customFormat="1" ht="15" hidden="1" outlineLevel="1">
      <c r="A82" s="4"/>
      <c r="B82" s="5"/>
      <c r="C82" s="5" t="s">
        <v>95</v>
      </c>
      <c r="D82" s="5"/>
      <c r="E82" s="5"/>
      <c r="F82" s="5"/>
      <c r="G82" s="5"/>
      <c r="H82" s="5"/>
      <c r="I82" s="5"/>
      <c r="J82" s="5">
        <f t="shared" si="1"/>
        <v>0</v>
      </c>
      <c r="K82" s="5"/>
      <c r="L82" s="18"/>
      <c r="M82" s="18"/>
      <c r="N82" s="6"/>
    </row>
    <row r="83" spans="1:14" s="2" customFormat="1" ht="15" hidden="1" outlineLevel="1">
      <c r="A83" s="4"/>
      <c r="B83" s="5"/>
      <c r="C83" s="5" t="s">
        <v>96</v>
      </c>
      <c r="D83" s="5"/>
      <c r="E83" s="5"/>
      <c r="F83" s="5"/>
      <c r="G83" s="5"/>
      <c r="H83" s="5"/>
      <c r="I83" s="5"/>
      <c r="J83" s="5">
        <f t="shared" si="1"/>
        <v>0</v>
      </c>
      <c r="K83" s="5"/>
      <c r="L83" s="18"/>
      <c r="M83" s="18"/>
      <c r="N83" s="6"/>
    </row>
    <row r="84" spans="1:14" s="2" customFormat="1" ht="15" hidden="1" outlineLevel="1">
      <c r="A84" s="4"/>
      <c r="B84" s="5"/>
      <c r="C84" s="5" t="s">
        <v>97</v>
      </c>
      <c r="D84" s="5"/>
      <c r="E84" s="5"/>
      <c r="F84" s="5"/>
      <c r="G84" s="5"/>
      <c r="H84" s="5"/>
      <c r="I84" s="5"/>
      <c r="J84" s="5">
        <f t="shared" si="1"/>
        <v>0</v>
      </c>
      <c r="K84" s="5"/>
      <c r="L84" s="18"/>
      <c r="M84" s="18"/>
      <c r="N84" s="6"/>
    </row>
    <row r="85" spans="1:14" s="2" customFormat="1" ht="15" hidden="1" outlineLevel="1">
      <c r="A85" s="4"/>
      <c r="B85" s="5"/>
      <c r="C85" s="5" t="s">
        <v>98</v>
      </c>
      <c r="D85" s="5"/>
      <c r="E85" s="5"/>
      <c r="F85" s="5"/>
      <c r="G85" s="5"/>
      <c r="H85" s="5"/>
      <c r="I85" s="5"/>
      <c r="J85" s="5">
        <f t="shared" si="1"/>
        <v>0</v>
      </c>
      <c r="K85" s="5"/>
      <c r="L85" s="18"/>
      <c r="M85" s="18"/>
      <c r="N85" s="6"/>
    </row>
    <row r="86" spans="1:14" s="2" customFormat="1" ht="15" hidden="1" outlineLevel="1">
      <c r="A86" s="4"/>
      <c r="B86" s="5"/>
      <c r="C86" s="5" t="s">
        <v>99</v>
      </c>
      <c r="D86" s="5"/>
      <c r="E86" s="26"/>
      <c r="F86" s="5"/>
      <c r="G86" s="5"/>
      <c r="H86" s="5"/>
      <c r="I86" s="5"/>
      <c r="J86" s="5">
        <f t="shared" si="1"/>
        <v>0</v>
      </c>
      <c r="K86" s="5"/>
      <c r="L86" s="18"/>
      <c r="M86" s="18"/>
      <c r="N86" s="6"/>
    </row>
    <row r="87" spans="1:14" s="2" customFormat="1" ht="15" hidden="1" outlineLevel="1">
      <c r="A87" s="4"/>
      <c r="B87" s="5"/>
      <c r="C87" s="5" t="s">
        <v>100</v>
      </c>
      <c r="D87" s="5"/>
      <c r="E87" s="5"/>
      <c r="F87" s="5"/>
      <c r="G87" s="5"/>
      <c r="H87" s="5"/>
      <c r="I87" s="5"/>
      <c r="J87" s="5">
        <f t="shared" si="1"/>
        <v>0</v>
      </c>
      <c r="K87" s="5"/>
      <c r="L87" s="18"/>
      <c r="M87" s="18"/>
      <c r="N87" s="6"/>
    </row>
    <row r="88" spans="1:14" s="2" customFormat="1" ht="15" hidden="1" outlineLevel="1">
      <c r="A88" s="4"/>
      <c r="B88" s="5"/>
      <c r="C88" s="5"/>
      <c r="D88" s="5"/>
      <c r="E88" s="5"/>
      <c r="F88" s="5"/>
      <c r="G88" s="5"/>
      <c r="H88" s="5"/>
      <c r="I88" s="5"/>
      <c r="J88" s="5">
        <f t="shared" si="1"/>
        <v>0</v>
      </c>
      <c r="K88" s="5"/>
      <c r="L88" s="18"/>
      <c r="M88" s="18"/>
      <c r="N88" s="6"/>
    </row>
    <row r="89" spans="1:14" s="2" customFormat="1" ht="15" hidden="1" outlineLevel="1">
      <c r="A89" s="4">
        <f>IF(B89="","",COUNTA($B$9:$B89))</f>
      </c>
      <c r="B89" s="5"/>
      <c r="C89" s="7"/>
      <c r="D89" s="5"/>
      <c r="E89" s="5"/>
      <c r="F89" s="5"/>
      <c r="G89" s="5"/>
      <c r="H89" s="5"/>
      <c r="I89" s="5"/>
      <c r="J89" s="5"/>
      <c r="K89" s="5"/>
      <c r="L89" s="18"/>
      <c r="M89" s="18"/>
      <c r="N89" s="6"/>
    </row>
    <row r="90" spans="1:14" s="2" customFormat="1" ht="15" collapsed="1">
      <c r="A90" s="4">
        <f>IF(B90="","",COUNTA($B$9:$B90))</f>
        <v>4</v>
      </c>
      <c r="B90" s="5" t="s">
        <v>25</v>
      </c>
      <c r="C90" s="7" t="s">
        <v>26</v>
      </c>
      <c r="D90" s="5" t="s">
        <v>19</v>
      </c>
      <c r="E90" s="5"/>
      <c r="F90" s="5"/>
      <c r="G90" s="5"/>
      <c r="H90" s="5"/>
      <c r="I90" s="5"/>
      <c r="J90" s="5"/>
      <c r="K90" s="5">
        <f>SUM(J91:J99)</f>
        <v>300</v>
      </c>
      <c r="L90" s="18">
        <v>15000</v>
      </c>
      <c r="M90" s="18">
        <f>K90*L90</f>
        <v>4500000</v>
      </c>
      <c r="N90" s="6"/>
    </row>
    <row r="91" spans="1:14" s="2" customFormat="1" ht="15" hidden="1" outlineLevel="1">
      <c r="A91" s="4">
        <f>IF(B91="","",COUNTA($B$9:$B91))</f>
      </c>
      <c r="B91" s="5"/>
      <c r="C91" s="7"/>
      <c r="D91" s="5"/>
      <c r="E91" s="5"/>
      <c r="F91" s="5"/>
      <c r="G91" s="5"/>
      <c r="H91" s="5"/>
      <c r="I91" s="5"/>
      <c r="J91" s="5">
        <f>PRODUCT(E91:I91)</f>
        <v>0</v>
      </c>
      <c r="K91" s="5"/>
      <c r="L91" s="18"/>
      <c r="M91" s="18"/>
      <c r="N91" s="6"/>
    </row>
    <row r="92" spans="1:14" s="2" customFormat="1" ht="15" hidden="1" outlineLevel="1">
      <c r="A92" s="4">
        <f>IF(B92="","",COUNTA($B$9:$B92))</f>
      </c>
      <c r="B92" s="5"/>
      <c r="C92" s="5"/>
      <c r="D92" s="5"/>
      <c r="E92" s="5"/>
      <c r="F92" s="5">
        <v>300</v>
      </c>
      <c r="G92" s="5"/>
      <c r="H92" s="5"/>
      <c r="I92" s="5"/>
      <c r="J92" s="5">
        <f aca="true" t="shared" si="2" ref="J92:J97">ROUND(PRODUCT(E92:I92),3)</f>
        <v>300</v>
      </c>
      <c r="K92" s="5"/>
      <c r="L92" s="18"/>
      <c r="M92" s="18"/>
      <c r="N92" s="6"/>
    </row>
    <row r="93" spans="1:14" s="2" customFormat="1" ht="15" hidden="1" outlineLevel="1">
      <c r="A93" s="4"/>
      <c r="B93" s="5"/>
      <c r="C93" s="27"/>
      <c r="D93" s="5"/>
      <c r="E93" s="5"/>
      <c r="F93" s="5"/>
      <c r="G93" s="5"/>
      <c r="H93" s="5"/>
      <c r="I93" s="5"/>
      <c r="J93" s="5">
        <f t="shared" si="2"/>
        <v>0</v>
      </c>
      <c r="K93" s="5"/>
      <c r="L93" s="18"/>
      <c r="M93" s="18"/>
      <c r="N93" s="6"/>
    </row>
    <row r="94" spans="1:14" s="2" customFormat="1" ht="15" hidden="1" outlineLevel="1">
      <c r="A94" s="4"/>
      <c r="B94" s="5"/>
      <c r="C94" s="27"/>
      <c r="D94" s="5"/>
      <c r="E94" s="5"/>
      <c r="F94" s="5"/>
      <c r="G94" s="5"/>
      <c r="H94" s="5"/>
      <c r="I94" s="5"/>
      <c r="J94" s="5">
        <f t="shared" si="2"/>
        <v>0</v>
      </c>
      <c r="K94" s="5"/>
      <c r="L94" s="18"/>
      <c r="M94" s="18"/>
      <c r="N94" s="6"/>
    </row>
    <row r="95" spans="1:14" s="2" customFormat="1" ht="15" hidden="1" outlineLevel="1">
      <c r="A95" s="4"/>
      <c r="B95" s="5"/>
      <c r="C95" s="27"/>
      <c r="D95" s="5"/>
      <c r="E95" s="5"/>
      <c r="F95" s="5"/>
      <c r="G95" s="5"/>
      <c r="H95" s="5"/>
      <c r="I95" s="5"/>
      <c r="J95" s="5">
        <f t="shared" si="2"/>
        <v>0</v>
      </c>
      <c r="K95" s="5"/>
      <c r="L95" s="18"/>
      <c r="M95" s="18"/>
      <c r="N95" s="6"/>
    </row>
    <row r="96" spans="1:14" s="2" customFormat="1" ht="15" hidden="1" outlineLevel="1">
      <c r="A96" s="4"/>
      <c r="B96" s="5"/>
      <c r="C96" s="27"/>
      <c r="D96" s="5"/>
      <c r="E96" s="5"/>
      <c r="F96" s="5"/>
      <c r="G96" s="5"/>
      <c r="H96" s="5"/>
      <c r="I96" s="5"/>
      <c r="J96" s="5">
        <f t="shared" si="2"/>
        <v>0</v>
      </c>
      <c r="K96" s="5"/>
      <c r="L96" s="18"/>
      <c r="M96" s="18"/>
      <c r="N96" s="6"/>
    </row>
    <row r="97" spans="1:14" s="2" customFormat="1" ht="15" hidden="1" outlineLevel="1">
      <c r="A97" s="4"/>
      <c r="B97" s="5"/>
      <c r="C97" s="27"/>
      <c r="D97" s="5"/>
      <c r="E97" s="5"/>
      <c r="F97" s="5"/>
      <c r="G97" s="5"/>
      <c r="H97" s="5"/>
      <c r="I97" s="5"/>
      <c r="J97" s="5">
        <f t="shared" si="2"/>
        <v>0</v>
      </c>
      <c r="K97" s="5"/>
      <c r="L97" s="18"/>
      <c r="M97" s="18"/>
      <c r="N97" s="6"/>
    </row>
    <row r="98" spans="1:14" s="2" customFormat="1" ht="15" hidden="1" outlineLevel="1">
      <c r="A98" s="4">
        <f>IF(B98="","",COUNTA($B$9:$B98))</f>
      </c>
      <c r="B98" s="5"/>
      <c r="C98" s="27"/>
      <c r="D98" s="5"/>
      <c r="E98" s="5"/>
      <c r="F98" s="5"/>
      <c r="G98" s="5"/>
      <c r="H98" s="5"/>
      <c r="I98" s="5"/>
      <c r="J98" s="5">
        <f>PRODUCT(E98:I98)</f>
        <v>0</v>
      </c>
      <c r="K98" s="5"/>
      <c r="L98" s="18"/>
      <c r="M98" s="18"/>
      <c r="N98" s="6"/>
    </row>
    <row r="99" spans="1:14" s="2" customFormat="1" ht="15" hidden="1" outlineLevel="1">
      <c r="A99" s="4">
        <f>IF(B99="","",COUNTA($B$9:$B99))</f>
      </c>
      <c r="B99" s="5"/>
      <c r="C99" s="7"/>
      <c r="D99" s="5"/>
      <c r="E99" s="5"/>
      <c r="F99" s="5"/>
      <c r="G99" s="5"/>
      <c r="H99" s="5"/>
      <c r="I99" s="5"/>
      <c r="J99" s="5"/>
      <c r="K99" s="5"/>
      <c r="L99" s="18"/>
      <c r="M99" s="18"/>
      <c r="N99" s="6"/>
    </row>
    <row r="100" spans="1:14" s="2" customFormat="1" ht="15" hidden="1" outlineLevel="1">
      <c r="A100" s="4">
        <f>IF(B100="","",COUNTA($B$9:$B100))</f>
      </c>
      <c r="B100" s="5"/>
      <c r="C100" s="7"/>
      <c r="D100" s="5"/>
      <c r="E100" s="5"/>
      <c r="F100" s="5"/>
      <c r="G100" s="5"/>
      <c r="H100" s="5"/>
      <c r="I100" s="5"/>
      <c r="J100" s="5">
        <f>PRODUCT(E100:I100)</f>
        <v>0</v>
      </c>
      <c r="K100" s="5"/>
      <c r="L100" s="18"/>
      <c r="M100" s="18"/>
      <c r="N100" s="6"/>
    </row>
    <row r="101" spans="1:14" s="2" customFormat="1" ht="15" collapsed="1">
      <c r="A101" s="4">
        <f>IF(B101="","",COUNTA($B$9:$B101))</f>
        <v>5</v>
      </c>
      <c r="B101" s="5" t="s">
        <v>35</v>
      </c>
      <c r="C101" s="7" t="s">
        <v>28</v>
      </c>
      <c r="D101" s="5" t="s">
        <v>16</v>
      </c>
      <c r="E101" s="5"/>
      <c r="F101" s="5"/>
      <c r="G101" s="5"/>
      <c r="H101" s="5"/>
      <c r="I101" s="5"/>
      <c r="J101" s="5"/>
      <c r="K101" s="5">
        <f>SUM(J102:J106)</f>
        <v>27.2601</v>
      </c>
      <c r="L101" s="18">
        <v>500000</v>
      </c>
      <c r="M101" s="18">
        <f>K101*L101</f>
        <v>13630050</v>
      </c>
      <c r="N101" s="6"/>
    </row>
    <row r="102" spans="1:14" s="2" customFormat="1" ht="15" hidden="1" outlineLevel="1">
      <c r="A102" s="4">
        <f>IF(B102="","",COUNTA($B$9:$B102))</f>
      </c>
      <c r="B102" s="5"/>
      <c r="C102" s="7"/>
      <c r="D102" s="5"/>
      <c r="E102" s="5"/>
      <c r="F102" s="5">
        <f>K75</f>
        <v>21.609</v>
      </c>
      <c r="G102" s="5"/>
      <c r="H102" s="5"/>
      <c r="I102" s="5"/>
      <c r="J102" s="5">
        <f>PRODUCT(E102:I102)</f>
        <v>21.609</v>
      </c>
      <c r="K102" s="5"/>
      <c r="L102" s="18"/>
      <c r="M102" s="18"/>
      <c r="N102" s="6"/>
    </row>
    <row r="103" spans="1:14" s="2" customFormat="1" ht="15" hidden="1" outlineLevel="1">
      <c r="A103" s="4">
        <f>IF(B103="","",COUNTA($B$9:$B103))</f>
      </c>
      <c r="B103" s="5"/>
      <c r="C103" s="16"/>
      <c r="D103" s="5"/>
      <c r="E103" s="5"/>
      <c r="F103" s="5">
        <f>K64</f>
        <v>627.9</v>
      </c>
      <c r="G103" s="5">
        <v>0.009</v>
      </c>
      <c r="H103" s="5"/>
      <c r="I103" s="5"/>
      <c r="J103" s="5">
        <f>PRODUCT(E103:I103)</f>
        <v>5.6511</v>
      </c>
      <c r="K103" s="5"/>
      <c r="L103" s="18"/>
      <c r="M103" s="18"/>
      <c r="N103" s="6"/>
    </row>
    <row r="104" spans="1:14" s="2" customFormat="1" ht="15" hidden="1" outlineLevel="1">
      <c r="A104" s="4">
        <f>IF(B104="","",COUNTA($B$9:$B104))</f>
      </c>
      <c r="B104" s="5"/>
      <c r="C104" s="7"/>
      <c r="D104" s="5"/>
      <c r="E104" s="5"/>
      <c r="F104" s="5"/>
      <c r="G104" s="5"/>
      <c r="H104" s="5"/>
      <c r="I104" s="5"/>
      <c r="J104" s="5">
        <f>PRODUCT(E104:I104)</f>
        <v>0</v>
      </c>
      <c r="K104" s="5"/>
      <c r="L104" s="18"/>
      <c r="M104" s="18"/>
      <c r="N104" s="6"/>
    </row>
    <row r="105" spans="1:14" s="2" customFormat="1" ht="15" hidden="1" outlineLevel="1">
      <c r="A105" s="4">
        <f>IF(B105="","",COUNTA($B$9:$B105))</f>
      </c>
      <c r="B105" s="5"/>
      <c r="C105" s="7"/>
      <c r="D105" s="5"/>
      <c r="E105" s="5"/>
      <c r="F105" s="5"/>
      <c r="G105" s="5"/>
      <c r="H105" s="5"/>
      <c r="I105" s="5"/>
      <c r="J105" s="5">
        <f>PRODUCT(E105:I105)</f>
        <v>0</v>
      </c>
      <c r="K105" s="5"/>
      <c r="L105" s="18"/>
      <c r="M105" s="18"/>
      <c r="N105" s="6"/>
    </row>
    <row r="106" spans="1:14" s="2" customFormat="1" ht="15" hidden="1" outlineLevel="1">
      <c r="A106" s="4">
        <f>IF(B106="","",COUNTA($B$9:$B106))</f>
      </c>
      <c r="B106" s="5"/>
      <c r="C106" s="7"/>
      <c r="D106" s="5"/>
      <c r="E106" s="5"/>
      <c r="F106" s="5"/>
      <c r="G106" s="5"/>
      <c r="H106" s="5"/>
      <c r="I106" s="5"/>
      <c r="J106" s="5">
        <f>PRODUCT(E106:I106)</f>
        <v>0</v>
      </c>
      <c r="K106" s="5"/>
      <c r="L106" s="18"/>
      <c r="M106" s="18"/>
      <c r="N106" s="6"/>
    </row>
    <row r="107" spans="1:14" s="2" customFormat="1" ht="15" collapsed="1">
      <c r="A107" s="4">
        <f>IF(B107="","",COUNTA($B$9:$B107))</f>
        <v>6</v>
      </c>
      <c r="B107" s="5" t="s">
        <v>29</v>
      </c>
      <c r="C107" s="7" t="s">
        <v>30</v>
      </c>
      <c r="D107" s="5" t="s">
        <v>16</v>
      </c>
      <c r="E107" s="5"/>
      <c r="F107" s="5"/>
      <c r="G107" s="5"/>
      <c r="H107" s="5"/>
      <c r="I107" s="5"/>
      <c r="J107" s="5"/>
      <c r="K107" s="5">
        <f>SUM(J108:J110)</f>
        <v>27.2601</v>
      </c>
      <c r="L107" s="18">
        <v>150000</v>
      </c>
      <c r="M107" s="18">
        <f>K107*L107</f>
        <v>4089015</v>
      </c>
      <c r="N107" s="6"/>
    </row>
    <row r="108" spans="1:14" s="2" customFormat="1" ht="15" hidden="1" outlineLevel="1">
      <c r="A108" s="4">
        <f>IF(B108="","",COUNTA($B$9:$B108))</f>
      </c>
      <c r="B108" s="5"/>
      <c r="C108" s="7"/>
      <c r="D108" s="5"/>
      <c r="E108" s="5"/>
      <c r="F108" s="5">
        <f>K101</f>
        <v>27.2601</v>
      </c>
      <c r="G108" s="5"/>
      <c r="H108" s="5"/>
      <c r="I108" s="5"/>
      <c r="J108" s="5">
        <f>PRODUCT(E108:I108)</f>
        <v>27.2601</v>
      </c>
      <c r="K108" s="5"/>
      <c r="L108" s="18"/>
      <c r="M108" s="18"/>
      <c r="N108" s="6"/>
    </row>
    <row r="109" spans="1:14" s="2" customFormat="1" ht="15" hidden="1" outlineLevel="1">
      <c r="A109" s="4">
        <f>IF(B109="","",COUNTA($B$9:$B109))</f>
      </c>
      <c r="B109" s="5"/>
      <c r="C109" s="16"/>
      <c r="D109" s="5"/>
      <c r="E109" s="5"/>
      <c r="F109" s="5"/>
      <c r="G109" s="5"/>
      <c r="H109" s="5"/>
      <c r="I109" s="5"/>
      <c r="J109" s="5">
        <f>PRODUCT(E109:I109)</f>
        <v>0</v>
      </c>
      <c r="K109" s="5"/>
      <c r="L109" s="18"/>
      <c r="M109" s="18"/>
      <c r="N109" s="6"/>
    </row>
    <row r="110" spans="1:14" s="2" customFormat="1" ht="15" hidden="1" outlineLevel="1">
      <c r="A110" s="4">
        <f>IF(B110="","",COUNTA($B$9:$B110))</f>
      </c>
      <c r="B110" s="5"/>
      <c r="C110" s="7"/>
      <c r="D110" s="5"/>
      <c r="E110" s="5"/>
      <c r="F110" s="5"/>
      <c r="G110" s="5"/>
      <c r="H110" s="5"/>
      <c r="I110" s="5"/>
      <c r="J110" s="5">
        <f>PRODUCT(E110:I110)</f>
        <v>0</v>
      </c>
      <c r="K110" s="5"/>
      <c r="L110" s="18"/>
      <c r="M110" s="18"/>
      <c r="N110" s="6"/>
    </row>
    <row r="111" spans="1:14" s="2" customFormat="1" ht="30" collapsed="1">
      <c r="A111" s="4">
        <f>IF(B111="","",COUNTA($B$9:$B111))</f>
        <v>7</v>
      </c>
      <c r="B111" s="5" t="s">
        <v>31</v>
      </c>
      <c r="C111" s="7" t="s">
        <v>32</v>
      </c>
      <c r="D111" s="5" t="s">
        <v>16</v>
      </c>
      <c r="E111" s="5"/>
      <c r="F111" s="5"/>
      <c r="G111" s="5"/>
      <c r="H111" s="5"/>
      <c r="I111" s="5"/>
      <c r="J111" s="5"/>
      <c r="K111" s="5">
        <f>K107</f>
        <v>27.2601</v>
      </c>
      <c r="L111" s="18">
        <v>250000</v>
      </c>
      <c r="M111" s="18">
        <f aca="true" t="shared" si="3" ref="M111:M121">K111*L111</f>
        <v>6815025</v>
      </c>
      <c r="N111" s="6"/>
    </row>
    <row r="112" spans="1:14" s="2" customFormat="1" ht="15" hidden="1" outlineLevel="1">
      <c r="A112" s="4">
        <f>IF(B112="","",COUNTA($B$9:$B112))</f>
      </c>
      <c r="B112" s="5"/>
      <c r="C112" s="7"/>
      <c r="D112" s="5"/>
      <c r="E112" s="5"/>
      <c r="F112" s="5"/>
      <c r="G112" s="5"/>
      <c r="H112" s="5"/>
      <c r="I112" s="5"/>
      <c r="J112" s="5">
        <f>PRODUCT(E112:I112)</f>
        <v>0</v>
      </c>
      <c r="K112" s="5"/>
      <c r="L112" s="18"/>
      <c r="M112" s="18">
        <f t="shared" si="3"/>
        <v>0</v>
      </c>
      <c r="N112" s="6"/>
    </row>
    <row r="113" spans="1:14" s="2" customFormat="1" ht="15" hidden="1" outlineLevel="1">
      <c r="A113" s="4">
        <f>IF(B113="","",COUNTA($B$9:$B113))</f>
      </c>
      <c r="B113" s="5"/>
      <c r="C113" s="16"/>
      <c r="D113" s="5"/>
      <c r="E113" s="5"/>
      <c r="F113" s="5"/>
      <c r="G113" s="5"/>
      <c r="H113" s="5"/>
      <c r="I113" s="5"/>
      <c r="J113" s="5">
        <f>PRODUCT(E113:I113)</f>
        <v>0</v>
      </c>
      <c r="K113" s="5"/>
      <c r="L113" s="18"/>
      <c r="M113" s="18">
        <f t="shared" si="3"/>
        <v>0</v>
      </c>
      <c r="N113" s="6"/>
    </row>
    <row r="114" spans="1:14" s="2" customFormat="1" ht="15" hidden="1" outlineLevel="1">
      <c r="A114" s="4">
        <f>IF(B114="","",COUNTA($B$9:$B114))</f>
      </c>
      <c r="B114" s="5"/>
      <c r="C114" s="7"/>
      <c r="D114" s="5"/>
      <c r="E114" s="5"/>
      <c r="F114" s="5"/>
      <c r="G114" s="5"/>
      <c r="H114" s="5"/>
      <c r="I114" s="5"/>
      <c r="J114" s="5">
        <f>PRODUCT(E114:I114)</f>
        <v>0</v>
      </c>
      <c r="K114" s="5"/>
      <c r="L114" s="18"/>
      <c r="M114" s="18">
        <f t="shared" si="3"/>
        <v>0</v>
      </c>
      <c r="N114" s="6"/>
    </row>
    <row r="115" spans="1:14" s="2" customFormat="1" ht="15" hidden="1" outlineLevel="1">
      <c r="A115" s="4">
        <f>IF(B115="","",COUNTA($B$9:$B115))</f>
      </c>
      <c r="B115" s="5"/>
      <c r="C115" s="7"/>
      <c r="D115" s="5"/>
      <c r="E115" s="5"/>
      <c r="F115" s="5"/>
      <c r="G115" s="5"/>
      <c r="H115" s="5"/>
      <c r="I115" s="5"/>
      <c r="J115" s="5">
        <f>PRODUCT(E115:I115)</f>
        <v>0</v>
      </c>
      <c r="K115" s="5"/>
      <c r="L115" s="18"/>
      <c r="M115" s="18">
        <f t="shared" si="3"/>
        <v>0</v>
      </c>
      <c r="N115" s="6"/>
    </row>
    <row r="116" spans="1:14" s="2" customFormat="1" ht="15" hidden="1" outlineLevel="1">
      <c r="A116" s="4"/>
      <c r="B116" s="5"/>
      <c r="C116" s="7"/>
      <c r="D116" s="5"/>
      <c r="E116" s="5"/>
      <c r="F116" s="5"/>
      <c r="G116" s="5"/>
      <c r="H116" s="5"/>
      <c r="I116" s="5"/>
      <c r="J116" s="5"/>
      <c r="K116" s="5"/>
      <c r="L116" s="18"/>
      <c r="M116" s="18">
        <f t="shared" si="3"/>
        <v>0</v>
      </c>
      <c r="N116" s="6"/>
    </row>
    <row r="117" spans="1:14" s="2" customFormat="1" ht="15" hidden="1" outlineLevel="1">
      <c r="A117" s="4">
        <f>IF(B117="","",COUNTA($B$9:$B117))</f>
      </c>
      <c r="B117" s="5"/>
      <c r="C117" s="7"/>
      <c r="D117" s="5"/>
      <c r="E117" s="5"/>
      <c r="F117" s="5"/>
      <c r="G117" s="5"/>
      <c r="H117" s="5"/>
      <c r="I117" s="5"/>
      <c r="J117" s="5">
        <f>PRODUCT(E117:I117)</f>
        <v>0</v>
      </c>
      <c r="K117" s="5"/>
      <c r="L117" s="18"/>
      <c r="M117" s="18">
        <f t="shared" si="3"/>
        <v>0</v>
      </c>
      <c r="N117" s="6"/>
    </row>
    <row r="118" spans="1:14" s="2" customFormat="1" ht="15" hidden="1" outlineLevel="1">
      <c r="A118" s="4">
        <f>IF(B118="","",COUNTA($B$9:$B118))</f>
      </c>
      <c r="B118" s="5"/>
      <c r="C118" s="7"/>
      <c r="D118" s="5"/>
      <c r="E118" s="5"/>
      <c r="F118" s="5"/>
      <c r="G118" s="5"/>
      <c r="H118" s="5"/>
      <c r="I118" s="5"/>
      <c r="J118" s="5">
        <f>PRODUCT(E118:I118)</f>
        <v>0</v>
      </c>
      <c r="K118" s="5"/>
      <c r="L118" s="18"/>
      <c r="M118" s="18">
        <f t="shared" si="3"/>
        <v>0</v>
      </c>
      <c r="N118" s="6"/>
    </row>
    <row r="119" spans="1:14" s="2" customFormat="1" ht="15" hidden="1" outlineLevel="1">
      <c r="A119" s="4">
        <f>IF(B119="","",COUNTA($B$9:$B119))</f>
      </c>
      <c r="B119" s="5"/>
      <c r="C119" s="7"/>
      <c r="D119" s="5"/>
      <c r="E119" s="5"/>
      <c r="F119" s="5"/>
      <c r="G119" s="5"/>
      <c r="H119" s="5"/>
      <c r="I119" s="5"/>
      <c r="J119" s="5">
        <f>PRODUCT(E119:I119)</f>
        <v>0</v>
      </c>
      <c r="K119" s="5"/>
      <c r="L119" s="18"/>
      <c r="M119" s="18">
        <f t="shared" si="3"/>
        <v>0</v>
      </c>
      <c r="N119" s="6"/>
    </row>
    <row r="120" spans="1:14" s="2" customFormat="1" ht="15" hidden="1" outlineLevel="1">
      <c r="A120" s="4">
        <f>IF(B120="","",COUNTA($B$9:$B120))</f>
      </c>
      <c r="B120" s="5"/>
      <c r="C120" s="7"/>
      <c r="D120" s="5"/>
      <c r="E120" s="5"/>
      <c r="F120" s="5"/>
      <c r="G120" s="5"/>
      <c r="H120" s="5"/>
      <c r="I120" s="5"/>
      <c r="J120" s="5">
        <f>PRODUCT(E120:I120)</f>
        <v>0</v>
      </c>
      <c r="K120" s="5"/>
      <c r="L120" s="18"/>
      <c r="M120" s="18">
        <f t="shared" si="3"/>
        <v>0</v>
      </c>
      <c r="N120" s="6"/>
    </row>
    <row r="121" spans="1:14" s="2" customFormat="1" ht="30" collapsed="1">
      <c r="A121" s="4">
        <f>IF(B121="","",COUNTA($B$9:$B121))</f>
        <v>8</v>
      </c>
      <c r="B121" s="5" t="s">
        <v>33</v>
      </c>
      <c r="C121" s="7" t="s">
        <v>34</v>
      </c>
      <c r="D121" s="5" t="s">
        <v>16</v>
      </c>
      <c r="E121" s="5"/>
      <c r="F121" s="5"/>
      <c r="G121" s="5"/>
      <c r="H121" s="5"/>
      <c r="I121" s="5"/>
      <c r="J121" s="5"/>
      <c r="K121" s="5">
        <f>K111</f>
        <v>27.2601</v>
      </c>
      <c r="L121" s="18">
        <v>150000</v>
      </c>
      <c r="M121" s="18">
        <f t="shared" si="3"/>
        <v>4089015</v>
      </c>
      <c r="N121" s="6"/>
    </row>
    <row r="122" spans="1:14" s="2" customFormat="1" ht="15" hidden="1" outlineLevel="1">
      <c r="A122" s="4">
        <f>IF(B122="","",COUNTA($B$9:$B122))</f>
      </c>
      <c r="B122" s="5"/>
      <c r="C122" s="7"/>
      <c r="D122" s="5"/>
      <c r="E122" s="5"/>
      <c r="F122" s="5"/>
      <c r="G122" s="5"/>
      <c r="H122" s="5"/>
      <c r="I122" s="5"/>
      <c r="J122" s="5">
        <f>PRODUCT(E122:I122)</f>
        <v>0</v>
      </c>
      <c r="K122" s="5"/>
      <c r="L122" s="18"/>
      <c r="M122" s="18"/>
      <c r="N122" s="6"/>
    </row>
    <row r="123" spans="1:14" s="2" customFormat="1" ht="15" hidden="1" outlineLevel="1">
      <c r="A123" s="4">
        <f>IF(B123="","",COUNTA($B$9:$B123))</f>
      </c>
      <c r="B123" s="5"/>
      <c r="C123" s="16"/>
      <c r="D123" s="5"/>
      <c r="E123" s="5"/>
      <c r="F123" s="5"/>
      <c r="G123" s="5"/>
      <c r="H123" s="5"/>
      <c r="I123" s="5"/>
      <c r="J123" s="5">
        <f>PRODUCT(E123:I123)</f>
        <v>0</v>
      </c>
      <c r="K123" s="5"/>
      <c r="L123" s="18"/>
      <c r="M123" s="18"/>
      <c r="N123" s="6"/>
    </row>
    <row r="124" spans="1:14" s="2" customFormat="1" ht="15" hidden="1" outlineLevel="1">
      <c r="A124" s="4">
        <f>IF(B124="","",COUNTA($B$9:$B124))</f>
      </c>
      <c r="B124" s="5"/>
      <c r="C124" s="7"/>
      <c r="D124" s="5"/>
      <c r="E124" s="5"/>
      <c r="F124" s="5"/>
      <c r="G124" s="5"/>
      <c r="H124" s="5"/>
      <c r="I124" s="5"/>
      <c r="J124" s="5">
        <f aca="true" t="shared" si="4" ref="J124:J129">PRODUCT(E124:I124)</f>
        <v>0</v>
      </c>
      <c r="K124" s="5"/>
      <c r="L124" s="18"/>
      <c r="M124" s="18"/>
      <c r="N124" s="6"/>
    </row>
    <row r="125" spans="1:14" s="2" customFormat="1" ht="15" hidden="1" outlineLevel="1">
      <c r="A125" s="4">
        <f>IF(B125="","",COUNTA($B$9:$B125))</f>
      </c>
      <c r="B125" s="5"/>
      <c r="C125" s="7"/>
      <c r="D125" s="5"/>
      <c r="E125" s="5"/>
      <c r="F125" s="5"/>
      <c r="G125" s="5"/>
      <c r="H125" s="5"/>
      <c r="I125" s="5"/>
      <c r="J125" s="5">
        <f t="shared" si="4"/>
        <v>0</v>
      </c>
      <c r="K125" s="5"/>
      <c r="L125" s="18"/>
      <c r="M125" s="18"/>
      <c r="N125" s="6"/>
    </row>
    <row r="126" spans="1:14" s="2" customFormat="1" ht="15" hidden="1" outlineLevel="1">
      <c r="A126" s="4">
        <f>IF(B126="","",COUNTA($B$9:$B126))</f>
      </c>
      <c r="B126" s="5"/>
      <c r="C126" s="16"/>
      <c r="D126" s="5"/>
      <c r="E126" s="5"/>
      <c r="F126" s="5"/>
      <c r="G126" s="5"/>
      <c r="H126" s="5"/>
      <c r="I126" s="5"/>
      <c r="J126" s="5">
        <f t="shared" si="4"/>
        <v>0</v>
      </c>
      <c r="K126" s="5"/>
      <c r="L126" s="18"/>
      <c r="M126" s="18"/>
      <c r="N126" s="6"/>
    </row>
    <row r="127" spans="1:14" s="2" customFormat="1" ht="15" hidden="1" outlineLevel="1">
      <c r="A127" s="4">
        <f>IF(B127="","",COUNTA($B$9:$B127))</f>
      </c>
      <c r="B127" s="5"/>
      <c r="C127" s="7"/>
      <c r="D127" s="5"/>
      <c r="E127" s="5"/>
      <c r="F127" s="5"/>
      <c r="G127" s="5"/>
      <c r="H127" s="5"/>
      <c r="I127" s="5"/>
      <c r="J127" s="5">
        <f t="shared" si="4"/>
        <v>0</v>
      </c>
      <c r="K127" s="5"/>
      <c r="L127" s="18"/>
      <c r="M127" s="18"/>
      <c r="N127" s="6"/>
    </row>
    <row r="128" spans="1:14" s="2" customFormat="1" ht="15" hidden="1" outlineLevel="1">
      <c r="A128" s="4">
        <f>IF(B128="","",COUNTA($B$9:$B128))</f>
      </c>
      <c r="B128" s="5"/>
      <c r="C128" s="7"/>
      <c r="D128" s="5"/>
      <c r="E128" s="5"/>
      <c r="F128" s="5"/>
      <c r="G128" s="5"/>
      <c r="H128" s="5"/>
      <c r="I128" s="5"/>
      <c r="J128" s="5">
        <f t="shared" si="4"/>
        <v>0</v>
      </c>
      <c r="K128" s="5"/>
      <c r="L128" s="18"/>
      <c r="M128" s="18"/>
      <c r="N128" s="6"/>
    </row>
    <row r="129" spans="1:14" s="2" customFormat="1" ht="15" hidden="1" outlineLevel="1">
      <c r="A129" s="4">
        <f>IF(B129="","",COUNTA($B$9:$B129))</f>
      </c>
      <c r="B129" s="5"/>
      <c r="C129" s="7"/>
      <c r="D129" s="5"/>
      <c r="E129" s="5"/>
      <c r="F129" s="5"/>
      <c r="G129" s="5"/>
      <c r="H129" s="5"/>
      <c r="I129" s="5"/>
      <c r="J129" s="5">
        <f t="shared" si="4"/>
        <v>0</v>
      </c>
      <c r="K129" s="5"/>
      <c r="L129" s="18"/>
      <c r="M129" s="18"/>
      <c r="N129" s="6"/>
    </row>
    <row r="130" spans="1:14" s="2" customFormat="1" ht="24" customHeight="1" hidden="1" outlineLevel="1">
      <c r="A130" s="4">
        <f>IF(B130="","",COUNTA($B$9:$B130))</f>
      </c>
      <c r="B130" s="5"/>
      <c r="C130" s="7"/>
      <c r="D130" s="5"/>
      <c r="E130" s="5"/>
      <c r="F130" s="5"/>
      <c r="G130" s="5"/>
      <c r="H130" s="5"/>
      <c r="I130" s="5"/>
      <c r="J130" s="5">
        <f>PRODUCT(E130:I130)</f>
        <v>0</v>
      </c>
      <c r="K130" s="5"/>
      <c r="L130" s="18"/>
      <c r="M130" s="18"/>
      <c r="N130" s="6"/>
    </row>
    <row r="131" spans="1:14" s="2" customFormat="1" ht="15" collapsed="1">
      <c r="A131" s="4"/>
      <c r="B131" s="14"/>
      <c r="C131" s="12" t="s">
        <v>36</v>
      </c>
      <c r="D131" s="9"/>
      <c r="E131" s="9"/>
      <c r="F131" s="9"/>
      <c r="G131" s="9"/>
      <c r="H131" s="9"/>
      <c r="I131" s="9"/>
      <c r="J131" s="9"/>
      <c r="K131" s="9"/>
      <c r="L131" s="19"/>
      <c r="M131" s="29">
        <f>SUM(M132:M250)</f>
        <v>2952477936.6</v>
      </c>
      <c r="N131" s="10"/>
    </row>
    <row r="132" spans="1:14" s="2" customFormat="1" ht="45">
      <c r="A132" s="4">
        <f>IF(B132="","",COUNTA($B$9:$B132))</f>
        <v>9</v>
      </c>
      <c r="B132" s="5" t="s">
        <v>39</v>
      </c>
      <c r="C132" s="7" t="s">
        <v>101</v>
      </c>
      <c r="D132" s="5" t="s">
        <v>16</v>
      </c>
      <c r="E132" s="5"/>
      <c r="F132" s="5"/>
      <c r="G132" s="5"/>
      <c r="H132" s="5"/>
      <c r="I132" s="5"/>
      <c r="J132" s="5"/>
      <c r="K132" s="5">
        <f>SUM(J133:J150)</f>
        <v>12.649199999999999</v>
      </c>
      <c r="L132" s="18">
        <f>2700000*1.1</f>
        <v>2970000.0000000005</v>
      </c>
      <c r="M132" s="18">
        <f>K132*L132</f>
        <v>37568124</v>
      </c>
      <c r="N132" s="6"/>
    </row>
    <row r="133" spans="1:14" s="2" customFormat="1" ht="15" hidden="1" outlineLevel="1">
      <c r="A133" s="4">
        <f>IF(B133="","",COUNTA($B$9:$B133))</f>
      </c>
      <c r="B133" s="5"/>
      <c r="C133" s="7" t="s">
        <v>102</v>
      </c>
      <c r="D133" s="5"/>
      <c r="E133" s="5">
        <v>1</v>
      </c>
      <c r="F133" s="5">
        <v>1.5</v>
      </c>
      <c r="G133" s="5">
        <v>0.08</v>
      </c>
      <c r="H133" s="5">
        <v>4</v>
      </c>
      <c r="I133" s="5"/>
      <c r="J133" s="5">
        <f aca="true" t="shared" si="5" ref="J133:J148">ROUND(PRODUCT(E133:I133),3)</f>
        <v>0.48</v>
      </c>
      <c r="K133" s="5"/>
      <c r="L133" s="18"/>
      <c r="M133" s="18"/>
      <c r="N133" s="6"/>
    </row>
    <row r="134" spans="1:14" s="2" customFormat="1" ht="15" hidden="1" outlineLevel="1">
      <c r="A134" s="4"/>
      <c r="B134" s="5"/>
      <c r="C134" s="7" t="s">
        <v>103</v>
      </c>
      <c r="D134" s="5"/>
      <c r="E134" s="5">
        <v>1</v>
      </c>
      <c r="F134" s="5">
        <v>1.5</v>
      </c>
      <c r="G134" s="5">
        <v>0.08</v>
      </c>
      <c r="H134" s="5">
        <v>4</v>
      </c>
      <c r="I134" s="5"/>
      <c r="J134" s="5">
        <f t="shared" si="5"/>
        <v>0.48</v>
      </c>
      <c r="K134" s="5"/>
      <c r="L134" s="18"/>
      <c r="M134" s="18"/>
      <c r="N134" s="6"/>
    </row>
    <row r="135" spans="1:14" s="2" customFormat="1" ht="15" hidden="1" outlineLevel="1">
      <c r="A135" s="4"/>
      <c r="B135" s="5"/>
      <c r="C135" s="7" t="s">
        <v>104</v>
      </c>
      <c r="D135" s="5"/>
      <c r="E135" s="5">
        <v>1</v>
      </c>
      <c r="F135" s="5">
        <v>1.5</v>
      </c>
      <c r="G135" s="5">
        <v>0.08</v>
      </c>
      <c r="H135" s="5">
        <v>2.2</v>
      </c>
      <c r="I135" s="5"/>
      <c r="J135" s="5">
        <f t="shared" si="5"/>
        <v>0.264</v>
      </c>
      <c r="K135" s="5"/>
      <c r="L135" s="18"/>
      <c r="M135" s="18"/>
      <c r="N135" s="6"/>
    </row>
    <row r="136" spans="1:14" s="2" customFormat="1" ht="15" hidden="1" outlineLevel="1">
      <c r="A136" s="4"/>
      <c r="B136" s="5"/>
      <c r="C136" s="7" t="s">
        <v>105</v>
      </c>
      <c r="D136" s="5"/>
      <c r="E136" s="5">
        <v>1</v>
      </c>
      <c r="F136" s="5">
        <v>1.5</v>
      </c>
      <c r="G136" s="5">
        <v>0.08</v>
      </c>
      <c r="H136" s="5">
        <v>2.2</v>
      </c>
      <c r="I136" s="5"/>
      <c r="J136" s="5">
        <f t="shared" si="5"/>
        <v>0.264</v>
      </c>
      <c r="K136" s="5"/>
      <c r="L136" s="18"/>
      <c r="M136" s="18"/>
      <c r="N136" s="6"/>
    </row>
    <row r="137" spans="1:14" s="2" customFormat="1" ht="15" hidden="1" outlineLevel="1">
      <c r="A137" s="4"/>
      <c r="B137" s="5"/>
      <c r="C137" s="7" t="s">
        <v>106</v>
      </c>
      <c r="D137" s="5"/>
      <c r="E137" s="5">
        <v>1</v>
      </c>
      <c r="F137" s="5">
        <v>8.3</v>
      </c>
      <c r="G137" s="5">
        <v>0.08</v>
      </c>
      <c r="H137" s="5">
        <v>4</v>
      </c>
      <c r="I137" s="5"/>
      <c r="J137" s="5">
        <f t="shared" si="5"/>
        <v>2.656</v>
      </c>
      <c r="K137" s="5"/>
      <c r="L137" s="18"/>
      <c r="M137" s="18"/>
      <c r="N137" s="6"/>
    </row>
    <row r="138" spans="1:14" s="2" customFormat="1" ht="15" hidden="1" outlineLevel="1">
      <c r="A138" s="4"/>
      <c r="B138" s="5"/>
      <c r="C138" s="7" t="s">
        <v>107</v>
      </c>
      <c r="D138" s="5"/>
      <c r="E138" s="5">
        <v>1</v>
      </c>
      <c r="F138" s="5">
        <v>1.5</v>
      </c>
      <c r="G138" s="5">
        <v>0.08</v>
      </c>
      <c r="H138" s="5">
        <v>2.2</v>
      </c>
      <c r="I138" s="5"/>
      <c r="J138" s="5">
        <f t="shared" si="5"/>
        <v>0.264</v>
      </c>
      <c r="K138" s="5"/>
      <c r="L138" s="18"/>
      <c r="M138" s="18"/>
      <c r="N138" s="6"/>
    </row>
    <row r="139" spans="1:14" s="2" customFormat="1" ht="15" hidden="1" outlineLevel="1">
      <c r="A139" s="4"/>
      <c r="B139" s="5"/>
      <c r="C139" s="7" t="s">
        <v>130</v>
      </c>
      <c r="D139" s="5"/>
      <c r="E139" s="5">
        <v>1</v>
      </c>
      <c r="F139" s="5">
        <v>8.3</v>
      </c>
      <c r="G139" s="5">
        <v>0.08</v>
      </c>
      <c r="H139" s="5">
        <v>4</v>
      </c>
      <c r="I139" s="5"/>
      <c r="J139" s="5">
        <f t="shared" si="5"/>
        <v>2.656</v>
      </c>
      <c r="K139" s="5"/>
      <c r="L139" s="18"/>
      <c r="M139" s="18"/>
      <c r="N139" s="6"/>
    </row>
    <row r="140" spans="1:14" s="2" customFormat="1" ht="15" hidden="1" outlineLevel="1">
      <c r="A140" s="4"/>
      <c r="B140" s="5"/>
      <c r="C140" s="27" t="s">
        <v>108</v>
      </c>
      <c r="D140" s="5"/>
      <c r="E140" s="5">
        <v>-1</v>
      </c>
      <c r="F140" s="5">
        <v>6.6</v>
      </c>
      <c r="G140" s="5">
        <v>0.08</v>
      </c>
      <c r="H140" s="5">
        <v>1.2</v>
      </c>
      <c r="I140" s="5"/>
      <c r="J140" s="5">
        <f t="shared" si="5"/>
        <v>-0.634</v>
      </c>
      <c r="K140" s="5"/>
      <c r="L140" s="18"/>
      <c r="M140" s="18"/>
      <c r="N140" s="6"/>
    </row>
    <row r="141" spans="1:14" s="2" customFormat="1" ht="15" hidden="1" outlineLevel="1">
      <c r="A141" s="4"/>
      <c r="B141" s="5"/>
      <c r="C141" s="7" t="s">
        <v>109</v>
      </c>
      <c r="D141" s="5"/>
      <c r="E141" s="5">
        <v>1</v>
      </c>
      <c r="F141" s="5">
        <v>6.1</v>
      </c>
      <c r="G141" s="5">
        <v>0.08</v>
      </c>
      <c r="H141" s="5">
        <v>4</v>
      </c>
      <c r="I141" s="5"/>
      <c r="J141" s="5">
        <f t="shared" si="5"/>
        <v>1.952</v>
      </c>
      <c r="K141" s="5"/>
      <c r="L141" s="18"/>
      <c r="M141" s="18"/>
      <c r="N141" s="6"/>
    </row>
    <row r="142" spans="1:14" s="2" customFormat="1" ht="15" hidden="1" outlineLevel="1">
      <c r="A142" s="4"/>
      <c r="B142" s="5"/>
      <c r="C142" s="27" t="s">
        <v>108</v>
      </c>
      <c r="D142" s="5"/>
      <c r="E142" s="5">
        <v>-1</v>
      </c>
      <c r="F142" s="5">
        <v>4.6</v>
      </c>
      <c r="G142" s="5">
        <v>0.08</v>
      </c>
      <c r="H142" s="5">
        <v>1.2</v>
      </c>
      <c r="I142" s="5"/>
      <c r="J142" s="5">
        <f t="shared" si="5"/>
        <v>-0.442</v>
      </c>
      <c r="K142" s="5"/>
      <c r="L142" s="18"/>
      <c r="M142" s="18"/>
      <c r="N142" s="6"/>
    </row>
    <row r="143" spans="1:14" s="2" customFormat="1" ht="15" hidden="1" outlineLevel="1">
      <c r="A143" s="4"/>
      <c r="B143" s="5"/>
      <c r="C143" s="7" t="s">
        <v>110</v>
      </c>
      <c r="D143" s="5"/>
      <c r="E143" s="5">
        <v>1</v>
      </c>
      <c r="F143" s="5">
        <v>6.1</v>
      </c>
      <c r="G143" s="5">
        <v>0.08</v>
      </c>
      <c r="H143" s="5">
        <v>4</v>
      </c>
      <c r="I143" s="5"/>
      <c r="J143" s="5">
        <f t="shared" si="5"/>
        <v>1.952</v>
      </c>
      <c r="K143" s="5"/>
      <c r="L143" s="18"/>
      <c r="M143" s="18"/>
      <c r="N143" s="6"/>
    </row>
    <row r="144" spans="1:14" s="2" customFormat="1" ht="15" hidden="1" outlineLevel="1">
      <c r="A144" s="4"/>
      <c r="B144" s="5"/>
      <c r="C144" s="27" t="s">
        <v>108</v>
      </c>
      <c r="D144" s="5"/>
      <c r="E144" s="5">
        <v>-1</v>
      </c>
      <c r="F144" s="5">
        <v>4.6</v>
      </c>
      <c r="G144" s="5">
        <v>0.08</v>
      </c>
      <c r="H144" s="5">
        <v>1.2</v>
      </c>
      <c r="I144" s="5"/>
      <c r="J144" s="5">
        <f t="shared" si="5"/>
        <v>-0.442</v>
      </c>
      <c r="K144" s="5"/>
      <c r="L144" s="18"/>
      <c r="M144" s="18"/>
      <c r="N144" s="6"/>
    </row>
    <row r="145" spans="1:14" s="2" customFormat="1" ht="15" hidden="1" outlineLevel="1">
      <c r="A145" s="4"/>
      <c r="B145" s="5"/>
      <c r="C145" s="7" t="s">
        <v>111</v>
      </c>
      <c r="D145" s="5"/>
      <c r="E145" s="5">
        <v>1</v>
      </c>
      <c r="F145" s="5">
        <v>6.1</v>
      </c>
      <c r="G145" s="5">
        <v>0.08</v>
      </c>
      <c r="H145" s="5">
        <v>4</v>
      </c>
      <c r="I145" s="5"/>
      <c r="J145" s="5">
        <f t="shared" si="5"/>
        <v>1.952</v>
      </c>
      <c r="K145" s="5"/>
      <c r="L145" s="18"/>
      <c r="M145" s="18"/>
      <c r="N145" s="6"/>
    </row>
    <row r="146" spans="1:14" s="2" customFormat="1" ht="15" hidden="1" outlineLevel="1">
      <c r="A146" s="4"/>
      <c r="B146" s="5"/>
      <c r="C146" s="27" t="s">
        <v>108</v>
      </c>
      <c r="D146" s="5"/>
      <c r="E146" s="5">
        <v>-1</v>
      </c>
      <c r="F146" s="5">
        <v>4.6</v>
      </c>
      <c r="G146" s="5">
        <v>0.08</v>
      </c>
      <c r="H146" s="5">
        <v>1.2</v>
      </c>
      <c r="I146" s="5"/>
      <c r="J146" s="5">
        <f t="shared" si="5"/>
        <v>-0.442</v>
      </c>
      <c r="K146" s="5"/>
      <c r="L146" s="18"/>
      <c r="M146" s="18"/>
      <c r="N146" s="6"/>
    </row>
    <row r="147" spans="1:14" s="2" customFormat="1" ht="15" hidden="1" outlineLevel="1">
      <c r="A147" s="4"/>
      <c r="B147" s="5"/>
      <c r="C147" s="7" t="s">
        <v>112</v>
      </c>
      <c r="D147" s="5"/>
      <c r="E147" s="5">
        <v>1</v>
      </c>
      <c r="F147" s="5">
        <v>6.1</v>
      </c>
      <c r="G147" s="5">
        <v>0.08</v>
      </c>
      <c r="H147" s="5">
        <v>4</v>
      </c>
      <c r="I147" s="5"/>
      <c r="J147" s="5">
        <f t="shared" si="5"/>
        <v>1.952</v>
      </c>
      <c r="K147" s="5"/>
      <c r="L147" s="18"/>
      <c r="M147" s="18"/>
      <c r="N147" s="6"/>
    </row>
    <row r="148" spans="1:14" s="2" customFormat="1" ht="15" hidden="1" outlineLevel="1">
      <c r="A148" s="4"/>
      <c r="B148" s="5"/>
      <c r="C148" s="27" t="s">
        <v>108</v>
      </c>
      <c r="D148" s="5"/>
      <c r="E148" s="5">
        <v>-1</v>
      </c>
      <c r="F148" s="5">
        <v>4.6</v>
      </c>
      <c r="G148" s="5">
        <v>0.08</v>
      </c>
      <c r="H148" s="5">
        <v>1.2</v>
      </c>
      <c r="I148" s="5"/>
      <c r="J148" s="5">
        <f t="shared" si="5"/>
        <v>-0.442</v>
      </c>
      <c r="K148" s="5"/>
      <c r="L148" s="18"/>
      <c r="M148" s="18"/>
      <c r="N148" s="6"/>
    </row>
    <row r="149" spans="1:14" s="2" customFormat="1" ht="30" hidden="1" outlineLevel="1">
      <c r="A149" s="4">
        <f>IF(B149="","",COUNTA($B$9:$B149))</f>
      </c>
      <c r="B149" s="5"/>
      <c r="C149" s="27" t="s">
        <v>113</v>
      </c>
      <c r="D149" s="5"/>
      <c r="E149" s="5">
        <v>1</v>
      </c>
      <c r="F149" s="5">
        <v>1.4</v>
      </c>
      <c r="G149" s="5">
        <v>0.08</v>
      </c>
      <c r="H149" s="5">
        <f>2.8-1.2</f>
        <v>1.5999999999999999</v>
      </c>
      <c r="I149" s="5"/>
      <c r="J149" s="5">
        <f>PRODUCT(E149:I149)</f>
        <v>0.17919999999999997</v>
      </c>
      <c r="K149" s="5"/>
      <c r="L149" s="18"/>
      <c r="M149" s="18"/>
      <c r="N149" s="6"/>
    </row>
    <row r="150" spans="1:14" s="2" customFormat="1" ht="15" hidden="1" outlineLevel="1">
      <c r="A150" s="4">
        <f>IF(B150="","",COUNTA($B$9:$B150))</f>
      </c>
      <c r="B150" s="5"/>
      <c r="C150" s="7"/>
      <c r="D150" s="5"/>
      <c r="E150" s="5"/>
      <c r="F150" s="5"/>
      <c r="G150" s="5"/>
      <c r="H150" s="5"/>
      <c r="I150" s="5"/>
      <c r="J150" s="5">
        <f>ROUND(PRODUCT(E150:I150),3)</f>
        <v>0</v>
      </c>
      <c r="K150" s="5"/>
      <c r="L150" s="18"/>
      <c r="M150" s="18"/>
      <c r="N150" s="6"/>
    </row>
    <row r="151" spans="1:14" s="2" customFormat="1" ht="30" collapsed="1">
      <c r="A151" s="4">
        <f>IF(B151="","",COUNTA($B$9:$B151))</f>
        <v>10</v>
      </c>
      <c r="B151" s="5" t="s">
        <v>41</v>
      </c>
      <c r="C151" s="7" t="s">
        <v>40</v>
      </c>
      <c r="D151" s="5" t="s">
        <v>19</v>
      </c>
      <c r="E151" s="5"/>
      <c r="F151" s="5"/>
      <c r="G151" s="5"/>
      <c r="H151" s="5"/>
      <c r="I151" s="5"/>
      <c r="J151" s="5"/>
      <c r="K151" s="5">
        <f>SUM(J152:J153)</f>
        <v>316.23</v>
      </c>
      <c r="L151" s="18">
        <v>105000</v>
      </c>
      <c r="M151" s="18">
        <f>K151*L151</f>
        <v>33204150.000000004</v>
      </c>
      <c r="N151" s="6"/>
    </row>
    <row r="152" spans="1:14" s="2" customFormat="1" ht="15" hidden="1" outlineLevel="2">
      <c r="A152" s="4">
        <f>IF(B152="","",COUNTA($B$9:$B152))</f>
      </c>
      <c r="B152" s="5"/>
      <c r="C152" s="7" t="s">
        <v>117</v>
      </c>
      <c r="D152" s="5"/>
      <c r="E152" s="5">
        <v>1</v>
      </c>
      <c r="F152" s="5">
        <f>K132/0.08*2</f>
        <v>316.22999999999996</v>
      </c>
      <c r="G152" s="5"/>
      <c r="H152" s="5"/>
      <c r="I152" s="5"/>
      <c r="J152" s="5">
        <f>ROUND(PRODUCT(E152:I152),3)</f>
        <v>316.23</v>
      </c>
      <c r="K152" s="5"/>
      <c r="L152" s="18"/>
      <c r="M152" s="18"/>
      <c r="N152" s="6"/>
    </row>
    <row r="153" spans="1:14" s="2" customFormat="1" ht="15" hidden="1" outlineLevel="2">
      <c r="A153" s="4">
        <f>IF(B153="","",COUNTA($B$9:$B153))</f>
      </c>
      <c r="B153" s="5"/>
      <c r="C153" s="7"/>
      <c r="D153" s="5"/>
      <c r="E153" s="5"/>
      <c r="F153" s="5"/>
      <c r="G153" s="5"/>
      <c r="H153" s="5"/>
      <c r="I153" s="5"/>
      <c r="J153" s="5">
        <f>ROUND(PRODUCT(E153:I153),3)</f>
        <v>0</v>
      </c>
      <c r="K153" s="5"/>
      <c r="L153" s="18"/>
      <c r="M153" s="18"/>
      <c r="N153" s="6"/>
    </row>
    <row r="154" spans="1:14" s="2" customFormat="1" ht="15" collapsed="1">
      <c r="A154" s="4">
        <f>IF(B154="","",COUNTA($B$9:$B154))</f>
        <v>11</v>
      </c>
      <c r="B154" s="5" t="s">
        <v>14</v>
      </c>
      <c r="C154" s="7" t="s">
        <v>43</v>
      </c>
      <c r="D154" s="5" t="s">
        <v>19</v>
      </c>
      <c r="E154" s="5"/>
      <c r="F154" s="5"/>
      <c r="G154" s="5"/>
      <c r="H154" s="5"/>
      <c r="I154" s="5"/>
      <c r="J154" s="5"/>
      <c r="K154" s="5">
        <f>SUM(J155:J164)</f>
        <v>810.74</v>
      </c>
      <c r="L154" s="18">
        <f>185000*1.2*1.1</f>
        <v>244200.00000000003</v>
      </c>
      <c r="M154" s="18">
        <f>K154*L154</f>
        <v>197982708.00000003</v>
      </c>
      <c r="N154" s="6"/>
    </row>
    <row r="155" spans="1:14" s="2" customFormat="1" ht="15" hidden="1" outlineLevel="1">
      <c r="A155" s="4">
        <f>IF(B155="","",COUNTA($B$9:$B155))</f>
      </c>
      <c r="B155" s="5"/>
      <c r="C155" s="5" t="s">
        <v>81</v>
      </c>
      <c r="D155" s="5"/>
      <c r="E155" s="5">
        <v>1</v>
      </c>
      <c r="F155" s="5">
        <f>3.7+4</f>
        <v>7.7</v>
      </c>
      <c r="G155" s="5">
        <v>6.3</v>
      </c>
      <c r="H155" s="5"/>
      <c r="I155" s="5"/>
      <c r="J155" s="5">
        <f aca="true" t="shared" si="6" ref="J155:J163">ROUND(PRODUCT(E155:I155),3)</f>
        <v>48.51</v>
      </c>
      <c r="K155" s="5"/>
      <c r="L155" s="18"/>
      <c r="M155" s="18"/>
      <c r="N155" s="6"/>
    </row>
    <row r="156" spans="1:14" s="2" customFormat="1" ht="15" hidden="1" outlineLevel="1">
      <c r="A156" s="4">
        <f>IF(B156="","",COUNTA($B$9:$B156))</f>
      </c>
      <c r="B156" s="5"/>
      <c r="C156" s="5" t="s">
        <v>82</v>
      </c>
      <c r="D156" s="5"/>
      <c r="E156" s="5">
        <v>1</v>
      </c>
      <c r="F156" s="5">
        <f>6+4*3+6</f>
        <v>24</v>
      </c>
      <c r="G156" s="5">
        <v>8.3</v>
      </c>
      <c r="H156" s="5"/>
      <c r="I156" s="5"/>
      <c r="J156" s="5">
        <f t="shared" si="6"/>
        <v>199.2</v>
      </c>
      <c r="K156" s="5"/>
      <c r="L156" s="18"/>
      <c r="M156" s="18"/>
      <c r="N156" s="6"/>
    </row>
    <row r="157" spans="1:14" s="2" customFormat="1" ht="15" hidden="1" outlineLevel="1">
      <c r="A157" s="4">
        <f>IF(B157="","",COUNTA($B$9:$B157))</f>
      </c>
      <c r="B157" s="5"/>
      <c r="C157" s="5" t="s">
        <v>83</v>
      </c>
      <c r="D157" s="5"/>
      <c r="E157" s="5">
        <v>1</v>
      </c>
      <c r="F157" s="5">
        <f>4+3.7*9</f>
        <v>37.300000000000004</v>
      </c>
      <c r="G157" s="5">
        <v>6.3</v>
      </c>
      <c r="H157" s="5"/>
      <c r="I157" s="5"/>
      <c r="J157" s="5">
        <f t="shared" si="6"/>
        <v>234.99</v>
      </c>
      <c r="K157" s="5"/>
      <c r="L157" s="18"/>
      <c r="M157" s="18"/>
      <c r="N157" s="6"/>
    </row>
    <row r="158" spans="1:14" s="2" customFormat="1" ht="15" hidden="1" outlineLevel="1">
      <c r="A158" s="4"/>
      <c r="B158" s="5"/>
      <c r="C158" s="5" t="s">
        <v>84</v>
      </c>
      <c r="D158" s="5"/>
      <c r="E158" s="5">
        <v>1</v>
      </c>
      <c r="F158" s="5">
        <v>4.2</v>
      </c>
      <c r="G158" s="5">
        <v>8.5</v>
      </c>
      <c r="H158" s="5"/>
      <c r="I158" s="5"/>
      <c r="J158" s="5">
        <f t="shared" si="6"/>
        <v>35.7</v>
      </c>
      <c r="K158" s="5"/>
      <c r="L158" s="18"/>
      <c r="M158" s="18"/>
      <c r="N158" s="6"/>
    </row>
    <row r="159" spans="1:14" s="2" customFormat="1" ht="15" hidden="1" outlineLevel="1">
      <c r="A159" s="4"/>
      <c r="B159" s="5"/>
      <c r="C159" s="5" t="s">
        <v>85</v>
      </c>
      <c r="D159" s="5"/>
      <c r="E159" s="5">
        <v>1</v>
      </c>
      <c r="F159" s="5">
        <v>4</v>
      </c>
      <c r="G159" s="5">
        <v>8.5</v>
      </c>
      <c r="H159" s="5"/>
      <c r="I159" s="5"/>
      <c r="J159" s="5">
        <f t="shared" si="6"/>
        <v>34</v>
      </c>
      <c r="K159" s="5"/>
      <c r="L159" s="18"/>
      <c r="M159" s="18"/>
      <c r="N159" s="6"/>
    </row>
    <row r="160" spans="1:14" s="2" customFormat="1" ht="15" hidden="1" outlineLevel="1">
      <c r="A160" s="4"/>
      <c r="B160" s="5"/>
      <c r="C160" s="5" t="s">
        <v>88</v>
      </c>
      <c r="D160" s="5"/>
      <c r="E160" s="5">
        <v>1</v>
      </c>
      <c r="F160" s="5">
        <v>4.9</v>
      </c>
      <c r="G160" s="5">
        <v>4.5</v>
      </c>
      <c r="H160" s="5"/>
      <c r="I160" s="5"/>
      <c r="J160" s="5">
        <f t="shared" si="6"/>
        <v>22.05</v>
      </c>
      <c r="K160" s="5"/>
      <c r="L160" s="18"/>
      <c r="M160" s="18"/>
      <c r="N160" s="6"/>
    </row>
    <row r="161" spans="1:14" s="2" customFormat="1" ht="15" hidden="1" outlineLevel="1">
      <c r="A161" s="4"/>
      <c r="B161" s="5"/>
      <c r="C161" s="5" t="s">
        <v>87</v>
      </c>
      <c r="D161" s="5"/>
      <c r="E161" s="5">
        <v>1</v>
      </c>
      <c r="F161" s="5">
        <v>4.1</v>
      </c>
      <c r="G161" s="5">
        <v>4.5</v>
      </c>
      <c r="H161" s="5"/>
      <c r="I161" s="5"/>
      <c r="J161" s="5">
        <f t="shared" si="6"/>
        <v>18.45</v>
      </c>
      <c r="K161" s="5"/>
      <c r="L161" s="18"/>
      <c r="M161" s="18"/>
      <c r="N161" s="6"/>
    </row>
    <row r="162" spans="1:14" s="2" customFormat="1" ht="15" hidden="1" outlineLevel="1">
      <c r="A162" s="4"/>
      <c r="B162" s="5"/>
      <c r="C162" s="5" t="s">
        <v>86</v>
      </c>
      <c r="D162" s="5"/>
      <c r="E162" s="5">
        <v>1</v>
      </c>
      <c r="F162" s="5">
        <v>5.6</v>
      </c>
      <c r="G162" s="5">
        <v>4.4</v>
      </c>
      <c r="H162" s="5"/>
      <c r="I162" s="5"/>
      <c r="J162" s="5">
        <f t="shared" si="6"/>
        <v>24.64</v>
      </c>
      <c r="K162" s="5"/>
      <c r="L162" s="18"/>
      <c r="M162" s="18"/>
      <c r="N162" s="6"/>
    </row>
    <row r="163" spans="1:14" s="2" customFormat="1" ht="15" hidden="1" outlineLevel="1">
      <c r="A163" s="4"/>
      <c r="B163" s="5"/>
      <c r="C163" s="5" t="s">
        <v>118</v>
      </c>
      <c r="D163" s="5"/>
      <c r="E163" s="5">
        <v>1</v>
      </c>
      <c r="F163" s="5">
        <f>3.7+4+6+4*3+6+4+3.7*9</f>
        <v>69</v>
      </c>
      <c r="G163" s="5">
        <v>2.8</v>
      </c>
      <c r="H163" s="5"/>
      <c r="I163" s="5"/>
      <c r="J163" s="5">
        <f t="shared" si="6"/>
        <v>193.2</v>
      </c>
      <c r="K163" s="5"/>
      <c r="L163" s="18"/>
      <c r="M163" s="18"/>
      <c r="N163" s="6"/>
    </row>
    <row r="164" spans="1:14" s="2" customFormat="1" ht="15" hidden="1" outlineLevel="1">
      <c r="A164" s="4">
        <f>IF(B164="","",COUNTA($B$9:$B164))</f>
      </c>
      <c r="B164" s="5"/>
      <c r="C164" s="7"/>
      <c r="D164" s="5"/>
      <c r="E164" s="5"/>
      <c r="F164" s="5"/>
      <c r="G164" s="5"/>
      <c r="H164" s="5"/>
      <c r="I164" s="5"/>
      <c r="J164" s="5">
        <f>PRODUCT(E164:I164)</f>
        <v>0</v>
      </c>
      <c r="K164" s="5"/>
      <c r="L164" s="18"/>
      <c r="M164" s="18"/>
      <c r="N164" s="6"/>
    </row>
    <row r="165" spans="1:14" s="2" customFormat="1" ht="15" collapsed="1">
      <c r="A165" s="4">
        <f>IF(B165="","",COUNTA($B$9:$B165))</f>
        <v>12</v>
      </c>
      <c r="B165" s="5" t="s">
        <v>14</v>
      </c>
      <c r="C165" s="7" t="s">
        <v>44</v>
      </c>
      <c r="D165" s="5" t="s">
        <v>19</v>
      </c>
      <c r="E165" s="5"/>
      <c r="F165" s="5"/>
      <c r="G165" s="5"/>
      <c r="H165" s="5"/>
      <c r="I165" s="5"/>
      <c r="J165" s="5"/>
      <c r="K165" s="5">
        <f>SUM(J166:J167)</f>
        <v>851.277</v>
      </c>
      <c r="L165" s="18">
        <f>765000*1.2*1.1</f>
        <v>1009800.0000000001</v>
      </c>
      <c r="M165" s="18">
        <f>K165*L165</f>
        <v>859619514.6000001</v>
      </c>
      <c r="N165" s="6"/>
    </row>
    <row r="166" spans="1:14" s="2" customFormat="1" ht="15" hidden="1" outlineLevel="1">
      <c r="A166" s="4">
        <f>IF(B166="","",COUNTA($B$9:$B166))</f>
      </c>
      <c r="B166" s="5"/>
      <c r="C166" s="7" t="s">
        <v>119</v>
      </c>
      <c r="D166" s="5"/>
      <c r="E166" s="5">
        <v>1</v>
      </c>
      <c r="F166" s="5">
        <f>K154</f>
        <v>810.74</v>
      </c>
      <c r="G166" s="5"/>
      <c r="H166" s="5"/>
      <c r="I166" s="5"/>
      <c r="J166" s="5">
        <f>PRODUCT(E166:I166)</f>
        <v>810.74</v>
      </c>
      <c r="K166" s="5"/>
      <c r="L166" s="18"/>
      <c r="M166" s="18"/>
      <c r="N166" s="6"/>
    </row>
    <row r="167" spans="1:14" s="2" customFormat="1" ht="15" hidden="1" outlineLevel="1">
      <c r="A167" s="4">
        <f>IF(B167="","",COUNTA($B$9:$B167))</f>
      </c>
      <c r="B167" s="5"/>
      <c r="C167" s="7" t="s">
        <v>120</v>
      </c>
      <c r="D167" s="5"/>
      <c r="E167" s="5">
        <v>1</v>
      </c>
      <c r="F167" s="5">
        <f>5%*F166</f>
        <v>40.537000000000006</v>
      </c>
      <c r="G167" s="5"/>
      <c r="H167" s="5"/>
      <c r="I167" s="5"/>
      <c r="J167" s="5">
        <f>PRODUCT(E167:I167)</f>
        <v>40.537000000000006</v>
      </c>
      <c r="K167" s="5"/>
      <c r="L167" s="18"/>
      <c r="M167" s="18"/>
      <c r="N167" s="6"/>
    </row>
    <row r="168" spans="1:14" s="2" customFormat="1" ht="15" collapsed="1">
      <c r="A168" s="4">
        <f>IF(B168="","",COUNTA($B$9:$B168))</f>
        <v>13</v>
      </c>
      <c r="B168" s="5" t="s">
        <v>14</v>
      </c>
      <c r="C168" s="7" t="s">
        <v>121</v>
      </c>
      <c r="D168" s="5" t="s">
        <v>19</v>
      </c>
      <c r="E168" s="5"/>
      <c r="F168" s="5"/>
      <c r="G168" s="5"/>
      <c r="H168" s="5"/>
      <c r="I168" s="5"/>
      <c r="J168" s="5"/>
      <c r="K168" s="5">
        <f>SUM(J169:J192)</f>
        <v>616.7599999999999</v>
      </c>
      <c r="L168" s="18">
        <f>(765000+60000)*1.2*1.1</f>
        <v>1089000</v>
      </c>
      <c r="M168" s="18">
        <f>K168*L168</f>
        <v>671651639.9999999</v>
      </c>
      <c r="N168" s="6"/>
    </row>
    <row r="169" spans="1:14" s="2" customFormat="1" ht="15" hidden="1" outlineLevel="1">
      <c r="A169" s="4">
        <f>IF(B169="","",COUNTA($B$9:$B169))</f>
      </c>
      <c r="B169" s="5"/>
      <c r="C169" s="7" t="s">
        <v>122</v>
      </c>
      <c r="D169" s="5"/>
      <c r="E169" s="5">
        <v>1</v>
      </c>
      <c r="F169" s="5">
        <v>6.3</v>
      </c>
      <c r="G169" s="5"/>
      <c r="H169" s="5">
        <v>2</v>
      </c>
      <c r="I169" s="5"/>
      <c r="J169" s="5">
        <f aca="true" t="shared" si="7" ref="J169:J179">PRODUCT(E169:I169)</f>
        <v>12.6</v>
      </c>
      <c r="K169" s="5"/>
      <c r="L169" s="18"/>
      <c r="M169" s="18"/>
      <c r="N169" s="6"/>
    </row>
    <row r="170" spans="1:14" s="2" customFormat="1" ht="15" hidden="1" outlineLevel="1">
      <c r="A170" s="4"/>
      <c r="B170" s="5"/>
      <c r="C170" s="7" t="s">
        <v>123</v>
      </c>
      <c r="D170" s="5"/>
      <c r="E170" s="5">
        <v>1</v>
      </c>
      <c r="F170" s="5">
        <v>6.3</v>
      </c>
      <c r="G170" s="5"/>
      <c r="H170" s="5">
        <v>2</v>
      </c>
      <c r="I170" s="5">
        <v>2</v>
      </c>
      <c r="J170" s="5">
        <f t="shared" si="7"/>
        <v>25.2</v>
      </c>
      <c r="K170" s="5"/>
      <c r="L170" s="18"/>
      <c r="M170" s="18"/>
      <c r="N170" s="6"/>
    </row>
    <row r="171" spans="1:14" s="2" customFormat="1" ht="15" hidden="1" outlineLevel="1">
      <c r="A171" s="4"/>
      <c r="B171" s="5"/>
      <c r="C171" s="7" t="s">
        <v>124</v>
      </c>
      <c r="D171" s="5"/>
      <c r="E171" s="5">
        <v>1</v>
      </c>
      <c r="F171" s="5">
        <v>2</v>
      </c>
      <c r="G171" s="5"/>
      <c r="H171" s="5">
        <v>2</v>
      </c>
      <c r="I171" s="5"/>
      <c r="J171" s="5">
        <f t="shared" si="7"/>
        <v>4</v>
      </c>
      <c r="K171" s="5"/>
      <c r="L171" s="18"/>
      <c r="M171" s="18"/>
      <c r="N171" s="6"/>
    </row>
    <row r="172" spans="1:14" s="2" customFormat="1" ht="15" hidden="1" outlineLevel="1">
      <c r="A172" s="4"/>
      <c r="B172" s="5"/>
      <c r="C172" s="7" t="s">
        <v>125</v>
      </c>
      <c r="D172" s="5"/>
      <c r="E172" s="5">
        <v>1</v>
      </c>
      <c r="F172" s="5">
        <v>6.3</v>
      </c>
      <c r="G172" s="5"/>
      <c r="H172" s="5">
        <v>2</v>
      </c>
      <c r="I172" s="5">
        <v>2</v>
      </c>
      <c r="J172" s="5">
        <f t="shared" si="7"/>
        <v>25.2</v>
      </c>
      <c r="K172" s="5"/>
      <c r="L172" s="18"/>
      <c r="M172" s="18"/>
      <c r="N172" s="6"/>
    </row>
    <row r="173" spans="1:14" s="2" customFormat="1" ht="15" hidden="1" outlineLevel="1">
      <c r="A173" s="4"/>
      <c r="B173" s="5"/>
      <c r="C173" s="7" t="s">
        <v>126</v>
      </c>
      <c r="D173" s="5"/>
      <c r="E173" s="5">
        <v>1</v>
      </c>
      <c r="F173" s="5">
        <f>6.3+2</f>
        <v>8.3</v>
      </c>
      <c r="G173" s="5"/>
      <c r="H173" s="5">
        <v>2</v>
      </c>
      <c r="I173" s="5">
        <v>2</v>
      </c>
      <c r="J173" s="5">
        <f t="shared" si="7"/>
        <v>33.2</v>
      </c>
      <c r="K173" s="5"/>
      <c r="L173" s="18"/>
      <c r="M173" s="18"/>
      <c r="N173" s="6"/>
    </row>
    <row r="174" spans="1:14" s="2" customFormat="1" ht="15" hidden="1" outlineLevel="1">
      <c r="A174" s="4"/>
      <c r="B174" s="5"/>
      <c r="C174" s="7" t="s">
        <v>127</v>
      </c>
      <c r="D174" s="5"/>
      <c r="E174" s="5">
        <v>1</v>
      </c>
      <c r="F174" s="5">
        <f>6.3+2</f>
        <v>8.3</v>
      </c>
      <c r="G174" s="5"/>
      <c r="H174" s="5">
        <v>2</v>
      </c>
      <c r="I174" s="5">
        <v>2</v>
      </c>
      <c r="J174" s="5">
        <f t="shared" si="7"/>
        <v>33.2</v>
      </c>
      <c r="K174" s="5"/>
      <c r="L174" s="18"/>
      <c r="M174" s="18"/>
      <c r="N174" s="6"/>
    </row>
    <row r="175" spans="1:14" s="2" customFormat="1" ht="15" hidden="1" outlineLevel="1">
      <c r="A175" s="4"/>
      <c r="B175" s="5"/>
      <c r="C175" s="7" t="s">
        <v>128</v>
      </c>
      <c r="D175" s="5"/>
      <c r="E175" s="5">
        <v>1</v>
      </c>
      <c r="F175" s="5">
        <f>6.3+2</f>
        <v>8.3</v>
      </c>
      <c r="G175" s="5"/>
      <c r="H175" s="5">
        <v>2</v>
      </c>
      <c r="I175" s="5">
        <v>2</v>
      </c>
      <c r="J175" s="5">
        <f t="shared" si="7"/>
        <v>33.2</v>
      </c>
      <c r="K175" s="5"/>
      <c r="L175" s="18"/>
      <c r="M175" s="18"/>
      <c r="N175" s="6"/>
    </row>
    <row r="176" spans="1:14" s="2" customFormat="1" ht="15" hidden="1" outlineLevel="1">
      <c r="A176" s="4"/>
      <c r="B176" s="5"/>
      <c r="C176" s="7" t="s">
        <v>129</v>
      </c>
      <c r="D176" s="5"/>
      <c r="E176" s="5">
        <v>1</v>
      </c>
      <c r="F176" s="5">
        <f>6.3+2</f>
        <v>8.3</v>
      </c>
      <c r="G176" s="5"/>
      <c r="H176" s="5">
        <v>2</v>
      </c>
      <c r="I176" s="5">
        <v>2</v>
      </c>
      <c r="J176" s="5">
        <f t="shared" si="7"/>
        <v>33.2</v>
      </c>
      <c r="K176" s="5"/>
      <c r="L176" s="18"/>
      <c r="M176" s="18"/>
      <c r="N176" s="6"/>
    </row>
    <row r="177" spans="1:14" s="2" customFormat="1" ht="15" hidden="1" outlineLevel="1">
      <c r="A177" s="4"/>
      <c r="B177" s="5"/>
      <c r="C177" s="7" t="s">
        <v>131</v>
      </c>
      <c r="D177" s="5"/>
      <c r="E177" s="5">
        <v>1</v>
      </c>
      <c r="F177" s="5">
        <v>8.3</v>
      </c>
      <c r="G177" s="5"/>
      <c r="H177" s="5">
        <v>2</v>
      </c>
      <c r="I177" s="5">
        <v>2</v>
      </c>
      <c r="J177" s="5">
        <f t="shared" si="7"/>
        <v>33.2</v>
      </c>
      <c r="K177" s="5"/>
      <c r="L177" s="18"/>
      <c r="M177" s="18"/>
      <c r="N177" s="6"/>
    </row>
    <row r="178" spans="1:14" s="2" customFormat="1" ht="15" hidden="1" outlineLevel="1">
      <c r="A178" s="4">
        <f>IF(B178="","",COUNTA($B$9:$B178))</f>
      </c>
      <c r="B178" s="5"/>
      <c r="C178" s="7" t="s">
        <v>132</v>
      </c>
      <c r="D178" s="5"/>
      <c r="E178" s="5">
        <v>1</v>
      </c>
      <c r="F178" s="5">
        <v>2</v>
      </c>
      <c r="G178" s="5"/>
      <c r="H178" s="5">
        <v>2</v>
      </c>
      <c r="I178" s="5"/>
      <c r="J178" s="5">
        <f t="shared" si="7"/>
        <v>4</v>
      </c>
      <c r="K178" s="5"/>
      <c r="L178" s="18"/>
      <c r="M178" s="18"/>
      <c r="N178" s="6"/>
    </row>
    <row r="179" spans="1:14" s="2" customFormat="1" ht="15" hidden="1" outlineLevel="1">
      <c r="A179" s="4">
        <f>IF(B179="","",COUNTA($B$9:$B179))</f>
      </c>
      <c r="B179" s="5"/>
      <c r="C179" s="7" t="s">
        <v>133</v>
      </c>
      <c r="D179" s="5"/>
      <c r="E179" s="5">
        <v>1</v>
      </c>
      <c r="F179" s="5">
        <v>6.3</v>
      </c>
      <c r="G179" s="5"/>
      <c r="H179" s="5">
        <v>2</v>
      </c>
      <c r="I179" s="5">
        <v>2</v>
      </c>
      <c r="J179" s="5">
        <f t="shared" si="7"/>
        <v>25.2</v>
      </c>
      <c r="K179" s="5"/>
      <c r="L179" s="18"/>
      <c r="M179" s="18"/>
      <c r="N179" s="6"/>
    </row>
    <row r="180" spans="1:14" s="2" customFormat="1" ht="15" hidden="1" outlineLevel="1">
      <c r="A180" s="4">
        <f>IF(B180="","",COUNTA($B$9:$B180))</f>
      </c>
      <c r="B180" s="5"/>
      <c r="C180" s="7" t="s">
        <v>134</v>
      </c>
      <c r="D180" s="5"/>
      <c r="E180" s="5">
        <v>3</v>
      </c>
      <c r="F180" s="5">
        <v>6.3</v>
      </c>
      <c r="G180" s="5"/>
      <c r="H180" s="5">
        <v>1.2</v>
      </c>
      <c r="I180" s="5">
        <v>2</v>
      </c>
      <c r="J180" s="5">
        <f aca="true" t="shared" si="8" ref="J180:J191">PRODUCT(E180:I180)</f>
        <v>45.35999999999999</v>
      </c>
      <c r="K180" s="5"/>
      <c r="L180" s="18"/>
      <c r="M180" s="18"/>
      <c r="N180" s="6"/>
    </row>
    <row r="181" spans="1:14" s="2" customFormat="1" ht="15" hidden="1" outlineLevel="1">
      <c r="A181" s="4">
        <f>IF(B181="","",COUNTA($B$9:$B181))</f>
      </c>
      <c r="B181" s="5"/>
      <c r="C181" s="7" t="s">
        <v>135</v>
      </c>
      <c r="D181" s="5"/>
      <c r="E181" s="5">
        <v>1</v>
      </c>
      <c r="F181" s="5">
        <v>6.3</v>
      </c>
      <c r="G181" s="5"/>
      <c r="H181" s="5">
        <v>2</v>
      </c>
      <c r="I181" s="5"/>
      <c r="J181" s="5">
        <f t="shared" si="8"/>
        <v>12.6</v>
      </c>
      <c r="K181" s="5"/>
      <c r="L181" s="18"/>
      <c r="M181" s="18"/>
      <c r="N181" s="6"/>
    </row>
    <row r="182" spans="1:14" s="2" customFormat="1" ht="15" hidden="1" outlineLevel="1">
      <c r="A182" s="4">
        <f>IF(B182="","",COUNTA($B$9:$B182))</f>
      </c>
      <c r="B182" s="5"/>
      <c r="C182" s="7" t="s">
        <v>136</v>
      </c>
      <c r="D182" s="5"/>
      <c r="E182" s="5">
        <v>1</v>
      </c>
      <c r="F182" s="5">
        <f>6*2+4*3</f>
        <v>24</v>
      </c>
      <c r="G182" s="5"/>
      <c r="H182" s="5">
        <v>2</v>
      </c>
      <c r="I182" s="5"/>
      <c r="J182" s="5">
        <f t="shared" si="8"/>
        <v>48</v>
      </c>
      <c r="K182" s="5"/>
      <c r="L182" s="18"/>
      <c r="M182" s="18"/>
      <c r="N182" s="6"/>
    </row>
    <row r="183" spans="1:14" s="2" customFormat="1" ht="15" hidden="1" outlineLevel="1">
      <c r="A183" s="4">
        <f>IF(B183="","",COUNTA($B$9:$B183))</f>
      </c>
      <c r="B183" s="5"/>
      <c r="C183" s="7" t="s">
        <v>137</v>
      </c>
      <c r="D183" s="5"/>
      <c r="E183" s="5">
        <v>1</v>
      </c>
      <c r="F183" s="5">
        <f>3.7+4</f>
        <v>7.7</v>
      </c>
      <c r="G183" s="5"/>
      <c r="H183" s="5">
        <v>2</v>
      </c>
      <c r="I183" s="5"/>
      <c r="J183" s="5">
        <f t="shared" si="8"/>
        <v>15.4</v>
      </c>
      <c r="K183" s="5"/>
      <c r="L183" s="18"/>
      <c r="M183" s="18"/>
      <c r="N183" s="6"/>
    </row>
    <row r="184" spans="1:14" s="2" customFormat="1" ht="15" hidden="1" outlineLevel="1">
      <c r="A184" s="4">
        <f>IF(B184="","",COUNTA($B$9:$B184))</f>
      </c>
      <c r="B184" s="5"/>
      <c r="C184" s="7" t="s">
        <v>138</v>
      </c>
      <c r="D184" s="5"/>
      <c r="E184" s="5">
        <v>1</v>
      </c>
      <c r="F184" s="5">
        <f>4+3.7*7</f>
        <v>29.900000000000002</v>
      </c>
      <c r="G184" s="5"/>
      <c r="H184" s="5">
        <v>2</v>
      </c>
      <c r="I184" s="5"/>
      <c r="J184" s="5">
        <f t="shared" si="8"/>
        <v>59.800000000000004</v>
      </c>
      <c r="K184" s="5"/>
      <c r="L184" s="18"/>
      <c r="M184" s="18"/>
      <c r="N184" s="6"/>
    </row>
    <row r="185" spans="1:14" s="2" customFormat="1" ht="15" hidden="1" outlineLevel="1">
      <c r="A185" s="4">
        <f>IF(B185="","",COUNTA($B$9:$B185))</f>
      </c>
      <c r="B185" s="5"/>
      <c r="C185" s="7" t="s">
        <v>139</v>
      </c>
      <c r="D185" s="5"/>
      <c r="E185" s="5">
        <v>-12</v>
      </c>
      <c r="F185" s="5">
        <v>1.25</v>
      </c>
      <c r="G185" s="5"/>
      <c r="H185" s="5">
        <f>2-1</f>
        <v>1</v>
      </c>
      <c r="I185" s="5"/>
      <c r="J185" s="5">
        <f t="shared" si="8"/>
        <v>-15</v>
      </c>
      <c r="K185" s="5"/>
      <c r="L185" s="18"/>
      <c r="M185" s="18"/>
      <c r="N185" s="6"/>
    </row>
    <row r="186" spans="1:14" s="2" customFormat="1" ht="15" hidden="1" outlineLevel="1">
      <c r="A186" s="4">
        <f>IF(B186="","",COUNTA($B$9:$B186))</f>
      </c>
      <c r="B186" s="5"/>
      <c r="C186" s="7" t="s">
        <v>140</v>
      </c>
      <c r="D186" s="5"/>
      <c r="E186" s="5">
        <v>1</v>
      </c>
      <c r="F186" s="5">
        <f>3.7+4+6+4*3+6+4+3.7*7</f>
        <v>61.60000000000001</v>
      </c>
      <c r="G186" s="5"/>
      <c r="H186" s="5">
        <v>2</v>
      </c>
      <c r="I186" s="5">
        <v>2</v>
      </c>
      <c r="J186" s="5">
        <f t="shared" si="8"/>
        <v>246.40000000000003</v>
      </c>
      <c r="K186" s="5"/>
      <c r="L186" s="18"/>
      <c r="M186" s="18"/>
      <c r="N186" s="6"/>
    </row>
    <row r="187" spans="1:14" s="2" customFormat="1" ht="15" hidden="1" outlineLevel="1">
      <c r="A187" s="4">
        <f>IF(B187="","",COUNTA($B$9:$B187))</f>
      </c>
      <c r="B187" s="5"/>
      <c r="C187" s="7" t="s">
        <v>141</v>
      </c>
      <c r="D187" s="5"/>
      <c r="E187" s="5">
        <v>1</v>
      </c>
      <c r="F187" s="5">
        <f>3.7*2</f>
        <v>7.4</v>
      </c>
      <c r="G187" s="5"/>
      <c r="H187" s="5">
        <v>2</v>
      </c>
      <c r="I187" s="5"/>
      <c r="J187" s="5">
        <f t="shared" si="8"/>
        <v>14.8</v>
      </c>
      <c r="K187" s="5"/>
      <c r="L187" s="18"/>
      <c r="M187" s="18"/>
      <c r="N187" s="6"/>
    </row>
    <row r="188" spans="1:14" s="2" customFormat="1" ht="15" hidden="1" outlineLevel="1">
      <c r="A188" s="4">
        <f>IF(B188="","",COUNTA($B$9:$B188))</f>
      </c>
      <c r="B188" s="5"/>
      <c r="C188" s="7" t="s">
        <v>142</v>
      </c>
      <c r="D188" s="5"/>
      <c r="E188" s="5">
        <v>-12</v>
      </c>
      <c r="F188" s="5">
        <v>1.4</v>
      </c>
      <c r="G188" s="5"/>
      <c r="H188" s="5">
        <v>2</v>
      </c>
      <c r="I188" s="5">
        <v>2</v>
      </c>
      <c r="J188" s="5">
        <f t="shared" si="8"/>
        <v>-67.19999999999999</v>
      </c>
      <c r="K188" s="5"/>
      <c r="L188" s="18"/>
      <c r="M188" s="18"/>
      <c r="N188" s="6"/>
    </row>
    <row r="189" spans="1:14" s="2" customFormat="1" ht="15" hidden="1" outlineLevel="1">
      <c r="A189" s="4">
        <f>IF(B189="","",COUNTA($B$9:$B189))</f>
      </c>
      <c r="B189" s="5"/>
      <c r="C189" s="7"/>
      <c r="D189" s="5"/>
      <c r="E189" s="5">
        <v>-2</v>
      </c>
      <c r="F189" s="5">
        <v>1.4</v>
      </c>
      <c r="G189" s="5"/>
      <c r="H189" s="5">
        <v>2</v>
      </c>
      <c r="I189" s="5"/>
      <c r="J189" s="5">
        <f t="shared" si="8"/>
        <v>-5.6</v>
      </c>
      <c r="K189" s="5"/>
      <c r="L189" s="18"/>
      <c r="M189" s="18"/>
      <c r="N189" s="6"/>
    </row>
    <row r="190" spans="1:14" s="2" customFormat="1" ht="15" hidden="1" outlineLevel="1">
      <c r="A190" s="4">
        <f>IF(B190="","",COUNTA($B$9:$B190))</f>
      </c>
      <c r="B190" s="5"/>
      <c r="C190" s="7"/>
      <c r="D190" s="5"/>
      <c r="E190" s="5"/>
      <c r="F190" s="5"/>
      <c r="G190" s="5"/>
      <c r="H190" s="5"/>
      <c r="I190" s="5"/>
      <c r="J190" s="5">
        <f t="shared" si="8"/>
        <v>0</v>
      </c>
      <c r="K190" s="5"/>
      <c r="L190" s="18"/>
      <c r="M190" s="18"/>
      <c r="N190" s="6"/>
    </row>
    <row r="191" spans="1:14" s="2" customFormat="1" ht="15" hidden="1" outlineLevel="1">
      <c r="A191" s="4">
        <f>IF(B191="","",COUNTA($B$9:$B191))</f>
      </c>
      <c r="B191" s="5"/>
      <c r="C191" s="7"/>
      <c r="D191" s="5"/>
      <c r="E191" s="5"/>
      <c r="F191" s="5"/>
      <c r="G191" s="5"/>
      <c r="H191" s="5"/>
      <c r="I191" s="5"/>
      <c r="J191" s="5">
        <f t="shared" si="8"/>
        <v>0</v>
      </c>
      <c r="K191" s="5"/>
      <c r="L191" s="18"/>
      <c r="M191" s="18"/>
      <c r="N191" s="6"/>
    </row>
    <row r="192" spans="1:14" s="2" customFormat="1" ht="15" hidden="1" outlineLevel="1">
      <c r="A192" s="4">
        <f>IF(B192="","",COUNTA($B$9:$B192))</f>
      </c>
      <c r="B192" s="5"/>
      <c r="C192" s="7"/>
      <c r="D192" s="5"/>
      <c r="E192" s="5"/>
      <c r="F192" s="5"/>
      <c r="G192" s="5"/>
      <c r="H192" s="5"/>
      <c r="I192" s="5"/>
      <c r="J192" s="5">
        <f>PRODUCT(E192:I192)</f>
        <v>0</v>
      </c>
      <c r="K192" s="5"/>
      <c r="L192" s="18"/>
      <c r="M192" s="18"/>
      <c r="N192" s="6"/>
    </row>
    <row r="193" spans="1:14" s="2" customFormat="1" ht="15" collapsed="1">
      <c r="A193" s="4">
        <f>IF(B193="","",COUNTA($B$9:$B193))</f>
        <v>14</v>
      </c>
      <c r="B193" s="5" t="s">
        <v>14</v>
      </c>
      <c r="C193" s="7" t="s">
        <v>47</v>
      </c>
      <c r="D193" s="5" t="s">
        <v>42</v>
      </c>
      <c r="E193" s="5"/>
      <c r="F193" s="5"/>
      <c r="G193" s="5"/>
      <c r="H193" s="5"/>
      <c r="I193" s="5"/>
      <c r="J193" s="5"/>
      <c r="K193" s="5">
        <f>SUM(J194:J195)</f>
        <v>232</v>
      </c>
      <c r="L193" s="18">
        <f>120000*1.2*1.1</f>
        <v>158400</v>
      </c>
      <c r="M193" s="18">
        <f>K193*L193</f>
        <v>36748800</v>
      </c>
      <c r="N193" s="6"/>
    </row>
    <row r="194" spans="1:14" s="2" customFormat="1" ht="15" hidden="1" outlineLevel="1">
      <c r="A194" s="4">
        <f>IF(B194="","",COUNTA($B$9:$B194))</f>
      </c>
      <c r="B194" s="5"/>
      <c r="C194" s="7"/>
      <c r="D194" s="5"/>
      <c r="E194" s="5">
        <v>1</v>
      </c>
      <c r="F194" s="5">
        <v>232</v>
      </c>
      <c r="G194" s="5"/>
      <c r="H194" s="5"/>
      <c r="I194" s="5"/>
      <c r="J194" s="5">
        <f>PRODUCT(E194:I194)</f>
        <v>232</v>
      </c>
      <c r="K194" s="5"/>
      <c r="L194" s="18"/>
      <c r="M194" s="18"/>
      <c r="N194" s="6"/>
    </row>
    <row r="195" spans="1:14" s="2" customFormat="1" ht="15" hidden="1" outlineLevel="1">
      <c r="A195" s="4">
        <f>IF(B195="","",COUNTA($B$9:$B195))</f>
      </c>
      <c r="B195" s="5"/>
      <c r="C195" s="7"/>
      <c r="D195" s="5"/>
      <c r="E195" s="5"/>
      <c r="F195" s="5"/>
      <c r="G195" s="5"/>
      <c r="H195" s="5"/>
      <c r="I195" s="5"/>
      <c r="J195" s="5">
        <f>PRODUCT(E195:I195)</f>
        <v>0</v>
      </c>
      <c r="K195" s="5"/>
      <c r="L195" s="18"/>
      <c r="M195" s="18"/>
      <c r="N195" s="6"/>
    </row>
    <row r="196" spans="1:14" s="2" customFormat="1" ht="15" collapsed="1">
      <c r="A196" s="4">
        <f>IF(B196="","",COUNTA($B$9:$B196))</f>
        <v>15</v>
      </c>
      <c r="B196" s="5" t="s">
        <v>14</v>
      </c>
      <c r="C196" s="7" t="s">
        <v>48</v>
      </c>
      <c r="D196" s="5" t="s">
        <v>42</v>
      </c>
      <c r="E196" s="5"/>
      <c r="F196" s="5"/>
      <c r="G196" s="5"/>
      <c r="H196" s="5"/>
      <c r="I196" s="5"/>
      <c r="J196" s="5"/>
      <c r="K196" s="5">
        <f>SUM(J197:J198)</f>
        <v>232</v>
      </c>
      <c r="L196" s="18">
        <f>120000*1.2*1.1</f>
        <v>158400</v>
      </c>
      <c r="M196" s="18">
        <f>K196*L196</f>
        <v>36748800</v>
      </c>
      <c r="N196" s="6"/>
    </row>
    <row r="197" spans="1:14" s="2" customFormat="1" ht="15" hidden="1" outlineLevel="1">
      <c r="A197" s="4">
        <f>IF(B197="","",COUNTA($B$9:$B197))</f>
      </c>
      <c r="B197" s="5"/>
      <c r="C197" s="7"/>
      <c r="D197" s="5"/>
      <c r="E197" s="5">
        <v>1</v>
      </c>
      <c r="F197" s="5">
        <v>232</v>
      </c>
      <c r="G197" s="5"/>
      <c r="H197" s="5"/>
      <c r="I197" s="5"/>
      <c r="J197" s="5">
        <f>PRODUCT(E197:I197)</f>
        <v>232</v>
      </c>
      <c r="K197" s="5"/>
      <c r="L197" s="18"/>
      <c r="M197" s="18"/>
      <c r="N197" s="6"/>
    </row>
    <row r="198" spans="1:14" s="2" customFormat="1" ht="15" hidden="1" outlineLevel="1">
      <c r="A198" s="4">
        <f>IF(B198="","",COUNTA($B$9:$B198))</f>
      </c>
      <c r="B198" s="5"/>
      <c r="C198" s="7"/>
      <c r="D198" s="5"/>
      <c r="E198" s="5"/>
      <c r="F198" s="5"/>
      <c r="G198" s="5"/>
      <c r="H198" s="5"/>
      <c r="I198" s="5"/>
      <c r="J198" s="5">
        <f>PRODUCT(E198:I198)</f>
        <v>0</v>
      </c>
      <c r="K198" s="5"/>
      <c r="L198" s="18"/>
      <c r="M198" s="18"/>
      <c r="N198" s="6"/>
    </row>
    <row r="199" spans="1:14" s="2" customFormat="1" ht="30" collapsed="1">
      <c r="A199" s="4">
        <f>IF(B199="","",COUNTA($B$9:$B199))</f>
        <v>16</v>
      </c>
      <c r="B199" s="5" t="s">
        <v>14</v>
      </c>
      <c r="C199" s="7" t="s">
        <v>144</v>
      </c>
      <c r="D199" s="5" t="s">
        <v>19</v>
      </c>
      <c r="E199" s="5"/>
      <c r="F199" s="5"/>
      <c r="G199" s="5"/>
      <c r="H199" s="5"/>
      <c r="I199" s="5"/>
      <c r="J199" s="5"/>
      <c r="K199" s="5">
        <f>SUM(J200:J204)</f>
        <v>627.9</v>
      </c>
      <c r="L199" s="18">
        <f>285000*1.2*1.1</f>
        <v>376200.00000000006</v>
      </c>
      <c r="M199" s="18">
        <f>K199*L199</f>
        <v>236215980.00000003</v>
      </c>
      <c r="N199" s="6"/>
    </row>
    <row r="200" spans="1:14" s="2" customFormat="1" ht="16.5" customHeight="1" hidden="1" outlineLevel="2">
      <c r="A200" s="4">
        <f>IF(B200="","",COUNTA($B$9:$B200))</f>
      </c>
      <c r="B200" s="5"/>
      <c r="C200" s="7" t="s">
        <v>143</v>
      </c>
      <c r="D200" s="5"/>
      <c r="E200" s="5">
        <v>1</v>
      </c>
      <c r="F200" s="5">
        <f>K64</f>
        <v>627.9</v>
      </c>
      <c r="G200" s="5"/>
      <c r="H200" s="5"/>
      <c r="I200" s="5"/>
      <c r="J200" s="5">
        <f>ROUND(PRODUCT(E200:I200),3)</f>
        <v>627.9</v>
      </c>
      <c r="K200" s="5"/>
      <c r="L200" s="18"/>
      <c r="M200" s="18"/>
      <c r="N200" s="6"/>
    </row>
    <row r="201" spans="1:14" s="2" customFormat="1" ht="16.5" customHeight="1" hidden="1" outlineLevel="2">
      <c r="A201" s="4">
        <f>IF(B201="","",COUNTA($B$9:$B201))</f>
      </c>
      <c r="B201" s="5"/>
      <c r="C201" s="5"/>
      <c r="D201" s="5"/>
      <c r="E201" s="5"/>
      <c r="F201" s="5"/>
      <c r="G201" s="5"/>
      <c r="H201" s="5"/>
      <c r="I201" s="5"/>
      <c r="J201" s="5">
        <f>ROUND(PRODUCT(E201:I201),3)</f>
        <v>0</v>
      </c>
      <c r="K201" s="5"/>
      <c r="L201" s="18"/>
      <c r="M201" s="18"/>
      <c r="N201" s="6"/>
    </row>
    <row r="202" spans="1:14" s="2" customFormat="1" ht="16.5" customHeight="1" hidden="1" outlineLevel="2">
      <c r="A202" s="4">
        <f>IF(B202="","",COUNTA($B$9:$B202))</f>
      </c>
      <c r="B202" s="5"/>
      <c r="C202" s="7"/>
      <c r="D202" s="5"/>
      <c r="E202" s="5"/>
      <c r="F202" s="5"/>
      <c r="G202" s="5"/>
      <c r="H202" s="5"/>
      <c r="I202" s="5"/>
      <c r="J202" s="5">
        <f>ROUND(PRODUCT(E202:I202),3)</f>
        <v>0</v>
      </c>
      <c r="K202" s="5"/>
      <c r="L202" s="18"/>
      <c r="M202" s="18"/>
      <c r="N202" s="6"/>
    </row>
    <row r="203" spans="1:14" s="2" customFormat="1" ht="16.5" customHeight="1" hidden="1" outlineLevel="2">
      <c r="A203" s="4">
        <f>IF(B203="","",COUNTA($B$9:$B203))</f>
      </c>
      <c r="B203" s="5"/>
      <c r="C203" s="5"/>
      <c r="D203" s="5"/>
      <c r="E203" s="5"/>
      <c r="F203" s="5"/>
      <c r="G203" s="5"/>
      <c r="H203" s="5"/>
      <c r="I203" s="5"/>
      <c r="J203" s="5">
        <f>ROUND(PRODUCT(E203:I203),3)</f>
        <v>0</v>
      </c>
      <c r="K203" s="5"/>
      <c r="L203" s="18"/>
      <c r="M203" s="18"/>
      <c r="N203" s="6"/>
    </row>
    <row r="204" spans="1:14" s="2" customFormat="1" ht="15" hidden="1" outlineLevel="2">
      <c r="A204" s="4">
        <f>IF(B204="","",COUNTA($B$9:$B204))</f>
      </c>
      <c r="B204" s="5"/>
      <c r="C204" s="7"/>
      <c r="D204" s="5"/>
      <c r="E204" s="5"/>
      <c r="F204" s="5"/>
      <c r="G204" s="5"/>
      <c r="H204" s="5"/>
      <c r="I204" s="5"/>
      <c r="J204" s="5">
        <f>ROUND(PRODUCT(E204:I204),3)</f>
        <v>0</v>
      </c>
      <c r="K204" s="5"/>
      <c r="L204" s="18"/>
      <c r="M204" s="18"/>
      <c r="N204" s="6"/>
    </row>
    <row r="205" spans="1:14" s="2" customFormat="1" ht="15" collapsed="1">
      <c r="A205" s="4">
        <f>IF(B205="","",COUNTA($B$9:$B205))</f>
        <v>17</v>
      </c>
      <c r="B205" s="5" t="s">
        <v>14</v>
      </c>
      <c r="C205" s="7" t="s">
        <v>145</v>
      </c>
      <c r="D205" s="5" t="s">
        <v>146</v>
      </c>
      <c r="E205" s="5"/>
      <c r="F205" s="5"/>
      <c r="G205" s="5"/>
      <c r="H205" s="5"/>
      <c r="I205" s="5"/>
      <c r="J205" s="5"/>
      <c r="K205" s="5">
        <f>SUM(J206:J209)</f>
        <v>18</v>
      </c>
      <c r="L205" s="18">
        <f>330000*1.2*1.1</f>
        <v>435600.00000000006</v>
      </c>
      <c r="M205" s="18">
        <f>K205*L205</f>
        <v>7840800.000000001</v>
      </c>
      <c r="N205" s="6"/>
    </row>
    <row r="206" spans="1:14" s="2" customFormat="1" ht="16.5" customHeight="1" hidden="1" outlineLevel="1">
      <c r="A206" s="4">
        <f>IF(B206="","",COUNTA($B$9:$B206))</f>
      </c>
      <c r="B206" s="5"/>
      <c r="C206" s="7" t="s">
        <v>147</v>
      </c>
      <c r="D206" s="5"/>
      <c r="E206" s="5"/>
      <c r="F206" s="5">
        <v>18</v>
      </c>
      <c r="G206" s="5"/>
      <c r="H206" s="5"/>
      <c r="I206" s="5"/>
      <c r="J206" s="5">
        <f>ROUND(PRODUCT(E206:I206),3)</f>
        <v>18</v>
      </c>
      <c r="K206" s="5"/>
      <c r="L206" s="18"/>
      <c r="M206" s="18"/>
      <c r="N206" s="6"/>
    </row>
    <row r="207" spans="1:14" s="2" customFormat="1" ht="16.5" customHeight="1" hidden="1" outlineLevel="1">
      <c r="A207" s="4">
        <f>IF(B207="","",COUNTA($B$9:$B207))</f>
      </c>
      <c r="B207" s="5"/>
      <c r="C207" s="5"/>
      <c r="D207" s="5"/>
      <c r="E207" s="5"/>
      <c r="F207" s="5"/>
      <c r="G207" s="5"/>
      <c r="H207" s="5"/>
      <c r="I207" s="5"/>
      <c r="J207" s="5">
        <f>ROUND(PRODUCT(E207:I207),3)</f>
        <v>0</v>
      </c>
      <c r="K207" s="5"/>
      <c r="L207" s="18"/>
      <c r="M207" s="18"/>
      <c r="N207" s="6"/>
    </row>
    <row r="208" spans="1:14" s="2" customFormat="1" ht="15" hidden="1" outlineLevel="1">
      <c r="A208" s="4">
        <f>IF(B208="","",COUNTA($B$9:$B208))</f>
      </c>
      <c r="B208" s="5"/>
      <c r="C208" s="7"/>
      <c r="D208" s="5"/>
      <c r="E208" s="5"/>
      <c r="F208" s="5"/>
      <c r="G208" s="5"/>
      <c r="H208" s="5"/>
      <c r="I208" s="5"/>
      <c r="J208" s="5">
        <f>ROUND(PRODUCT(E208:I208),3)</f>
        <v>0</v>
      </c>
      <c r="K208" s="5"/>
      <c r="L208" s="18"/>
      <c r="M208" s="18"/>
      <c r="N208" s="6"/>
    </row>
    <row r="209" spans="1:14" s="2" customFormat="1" ht="15" hidden="1" outlineLevel="1">
      <c r="A209" s="4">
        <f>IF(B209="","",COUNTA($B$9:$B209))</f>
      </c>
      <c r="B209" s="5"/>
      <c r="C209" s="7"/>
      <c r="D209" s="5"/>
      <c r="E209" s="5"/>
      <c r="F209" s="5"/>
      <c r="G209" s="5"/>
      <c r="H209" s="5"/>
      <c r="I209" s="5"/>
      <c r="J209" s="5">
        <f>ROUND(PRODUCT(E209:I209),3)</f>
        <v>0</v>
      </c>
      <c r="K209" s="5"/>
      <c r="L209" s="18"/>
      <c r="M209" s="18"/>
      <c r="N209" s="6"/>
    </row>
    <row r="210" spans="1:14" s="2" customFormat="1" ht="15" collapsed="1">
      <c r="A210" s="4">
        <f>IF(B210="","",COUNTA($B$9:$B210))</f>
        <v>18</v>
      </c>
      <c r="B210" s="5" t="s">
        <v>14</v>
      </c>
      <c r="C210" s="7" t="s">
        <v>52</v>
      </c>
      <c r="D210" s="5" t="s">
        <v>19</v>
      </c>
      <c r="E210" s="5"/>
      <c r="F210" s="5"/>
      <c r="G210" s="5"/>
      <c r="H210" s="5"/>
      <c r="I210" s="5"/>
      <c r="J210" s="5"/>
      <c r="K210" s="5">
        <f>SUM(J211:J214)</f>
        <v>117.6</v>
      </c>
      <c r="L210" s="18">
        <f>2150000*1.2*1.1</f>
        <v>2838000</v>
      </c>
      <c r="M210" s="18">
        <f>K210*L210</f>
        <v>333748800</v>
      </c>
      <c r="N210" s="6"/>
    </row>
    <row r="211" spans="1:14" s="2" customFormat="1" ht="15" hidden="1" outlineLevel="1">
      <c r="A211" s="4">
        <f>IF(B211="","",COUNTA($B$9:$B211))</f>
      </c>
      <c r="B211" s="5"/>
      <c r="C211" s="7" t="s">
        <v>148</v>
      </c>
      <c r="D211" s="5"/>
      <c r="E211" s="5">
        <v>4</v>
      </c>
      <c r="F211" s="5"/>
      <c r="G211" s="5">
        <v>2.8</v>
      </c>
      <c r="H211" s="5">
        <v>3.15</v>
      </c>
      <c r="I211" s="5"/>
      <c r="J211" s="5">
        <f>PRODUCT(E211:I211)</f>
        <v>35.279999999999994</v>
      </c>
      <c r="K211" s="5"/>
      <c r="L211" s="18"/>
      <c r="M211" s="18"/>
      <c r="N211" s="6"/>
    </row>
    <row r="212" spans="1:14" s="2" customFormat="1" ht="15" hidden="1" outlineLevel="1">
      <c r="A212" s="4">
        <f>IF(B212="","",COUNTA($B$9:$B212))</f>
      </c>
      <c r="B212" s="5"/>
      <c r="C212" s="7" t="s">
        <v>149</v>
      </c>
      <c r="D212" s="5"/>
      <c r="E212" s="5">
        <v>21</v>
      </c>
      <c r="F212" s="5"/>
      <c r="G212" s="5">
        <v>1.4</v>
      </c>
      <c r="H212" s="5">
        <v>2.8</v>
      </c>
      <c r="I212" s="5"/>
      <c r="J212" s="5">
        <f>PRODUCT(E212:I212)</f>
        <v>82.32</v>
      </c>
      <c r="K212" s="5"/>
      <c r="L212" s="18"/>
      <c r="M212" s="18"/>
      <c r="N212" s="6"/>
    </row>
    <row r="213" spans="1:14" s="2" customFormat="1" ht="15" hidden="1" outlineLevel="1">
      <c r="A213" s="4">
        <f>IF(B213="","",COUNTA($B$9:$B213))</f>
      </c>
      <c r="B213" s="5"/>
      <c r="C213" s="7"/>
      <c r="D213" s="5"/>
      <c r="E213" s="5"/>
      <c r="F213" s="5"/>
      <c r="G213" s="5"/>
      <c r="H213" s="5"/>
      <c r="I213" s="5"/>
      <c r="J213" s="5">
        <f>PRODUCT(E213:I213)</f>
        <v>0</v>
      </c>
      <c r="K213" s="5"/>
      <c r="L213" s="18"/>
      <c r="M213" s="18"/>
      <c r="N213" s="6"/>
    </row>
    <row r="214" spans="1:14" s="2" customFormat="1" ht="15" hidden="1" outlineLevel="1">
      <c r="A214" s="4">
        <f>IF(B214="","",COUNTA($B$9:$B214))</f>
      </c>
      <c r="B214" s="5"/>
      <c r="C214" s="7"/>
      <c r="D214" s="5"/>
      <c r="E214" s="5"/>
      <c r="F214" s="5"/>
      <c r="G214" s="5"/>
      <c r="H214" s="5"/>
      <c r="I214" s="5"/>
      <c r="J214" s="5">
        <f>PRODUCT(E214:I214)</f>
        <v>0</v>
      </c>
      <c r="K214" s="5"/>
      <c r="L214" s="18"/>
      <c r="M214" s="18"/>
      <c r="N214" s="6"/>
    </row>
    <row r="215" spans="1:14" s="2" customFormat="1" ht="15" collapsed="1">
      <c r="A215" s="4">
        <f>IF(B215="","",COUNTA($B$9:$B215))</f>
        <v>19</v>
      </c>
      <c r="B215" s="5" t="s">
        <v>14</v>
      </c>
      <c r="C215" s="7" t="s">
        <v>53</v>
      </c>
      <c r="D215" s="5" t="s">
        <v>19</v>
      </c>
      <c r="E215" s="5"/>
      <c r="F215" s="5"/>
      <c r="G215" s="5"/>
      <c r="H215" s="5"/>
      <c r="I215" s="5"/>
      <c r="J215" s="5"/>
      <c r="K215" s="5">
        <f>SUM(J216:J217)</f>
        <v>24</v>
      </c>
      <c r="L215" s="18">
        <f>2150000*1.2*1.1</f>
        <v>2838000</v>
      </c>
      <c r="M215" s="18">
        <f>K215*L215</f>
        <v>68112000</v>
      </c>
      <c r="N215" s="6"/>
    </row>
    <row r="216" spans="1:14" s="2" customFormat="1" ht="15" hidden="1" outlineLevel="1">
      <c r="A216" s="4">
        <f>IF(B216="","",COUNTA($B$9:$B216))</f>
      </c>
      <c r="B216" s="5"/>
      <c r="C216" s="7" t="s">
        <v>151</v>
      </c>
      <c r="D216" s="5"/>
      <c r="E216" s="5">
        <v>12</v>
      </c>
      <c r="F216" s="5"/>
      <c r="G216" s="5">
        <v>1.25</v>
      </c>
      <c r="H216" s="5">
        <v>1.6</v>
      </c>
      <c r="I216" s="5"/>
      <c r="J216" s="5">
        <f>PRODUCT(E216:I216)</f>
        <v>24</v>
      </c>
      <c r="K216" s="5"/>
      <c r="L216" s="18"/>
      <c r="M216" s="18"/>
      <c r="N216" s="6"/>
    </row>
    <row r="217" spans="1:14" s="2" customFormat="1" ht="15" hidden="1" outlineLevel="1">
      <c r="A217" s="4">
        <f>IF(B217="","",COUNTA($B$9:$B217))</f>
      </c>
      <c r="B217" s="5"/>
      <c r="C217" s="7"/>
      <c r="D217" s="5"/>
      <c r="E217" s="5"/>
      <c r="F217" s="5"/>
      <c r="G217" s="5"/>
      <c r="H217" s="5"/>
      <c r="I217" s="5"/>
      <c r="J217" s="5">
        <f>PRODUCT(E217:I217)</f>
        <v>0</v>
      </c>
      <c r="K217" s="5"/>
      <c r="L217" s="18"/>
      <c r="M217" s="18"/>
      <c r="N217" s="6"/>
    </row>
    <row r="218" spans="1:14" s="2" customFormat="1" ht="15" collapsed="1">
      <c r="A218" s="4">
        <f>IF(B218="","",COUNTA($B$9:$B218))</f>
        <v>20</v>
      </c>
      <c r="B218" s="5" t="s">
        <v>14</v>
      </c>
      <c r="C218" s="7" t="s">
        <v>54</v>
      </c>
      <c r="D218" s="5" t="s">
        <v>19</v>
      </c>
      <c r="E218" s="5"/>
      <c r="F218" s="5"/>
      <c r="G218" s="5"/>
      <c r="H218" s="5"/>
      <c r="I218" s="5"/>
      <c r="J218" s="5"/>
      <c r="K218" s="5">
        <f>SUM(J219:J227)</f>
        <v>107.81</v>
      </c>
      <c r="L218" s="18">
        <f>1650000*1.2*1.1</f>
        <v>2178000</v>
      </c>
      <c r="M218" s="18">
        <f>K218*L218</f>
        <v>234810180</v>
      </c>
      <c r="N218" s="6"/>
    </row>
    <row r="219" spans="1:14" s="2" customFormat="1" ht="15" hidden="1" outlineLevel="1">
      <c r="A219" s="4">
        <f>IF(B219="","",COUNTA($B$9:$B219))</f>
      </c>
      <c r="B219" s="5"/>
      <c r="C219" s="7" t="s">
        <v>152</v>
      </c>
      <c r="D219" s="5"/>
      <c r="E219" s="5">
        <v>1</v>
      </c>
      <c r="G219" s="5">
        <v>4</v>
      </c>
      <c r="H219" s="5">
        <v>2.8</v>
      </c>
      <c r="I219" s="5"/>
      <c r="J219" s="5">
        <f aca="true" t="shared" si="9" ref="J219:J227">PRODUCT(E219:I219)</f>
        <v>11.2</v>
      </c>
      <c r="K219" s="5"/>
      <c r="L219" s="18"/>
      <c r="M219" s="18"/>
      <c r="N219" s="6"/>
    </row>
    <row r="220" spans="1:14" s="2" customFormat="1" ht="15" hidden="1" outlineLevel="1">
      <c r="A220" s="4"/>
      <c r="B220" s="5"/>
      <c r="C220" s="5" t="s">
        <v>150</v>
      </c>
      <c r="D220" s="5"/>
      <c r="E220" s="5">
        <v>-1</v>
      </c>
      <c r="G220" s="5">
        <v>1.4</v>
      </c>
      <c r="H220" s="5">
        <v>2.2</v>
      </c>
      <c r="I220" s="5"/>
      <c r="J220" s="5">
        <f t="shared" si="9"/>
        <v>-3.08</v>
      </c>
      <c r="K220" s="5"/>
      <c r="L220" s="18"/>
      <c r="M220" s="18"/>
      <c r="N220" s="6"/>
    </row>
    <row r="221" spans="1:14" s="2" customFormat="1" ht="15" hidden="1" outlineLevel="1">
      <c r="A221" s="4"/>
      <c r="B221" s="5"/>
      <c r="C221" s="7" t="s">
        <v>153</v>
      </c>
      <c r="D221" s="5"/>
      <c r="E221" s="5">
        <v>1</v>
      </c>
      <c r="G221" s="5">
        <v>2.6</v>
      </c>
      <c r="H221" s="5">
        <f>2.8-1.2</f>
        <v>1.5999999999999999</v>
      </c>
      <c r="I221" s="5"/>
      <c r="J221" s="5">
        <f t="shared" si="9"/>
        <v>4.16</v>
      </c>
      <c r="K221" s="5"/>
      <c r="L221" s="18"/>
      <c r="M221" s="18"/>
      <c r="N221" s="6"/>
    </row>
    <row r="222" spans="1:14" s="2" customFormat="1" ht="15" hidden="1" outlineLevel="1">
      <c r="A222" s="4"/>
      <c r="B222" s="5"/>
      <c r="C222" s="5"/>
      <c r="D222" s="5"/>
      <c r="E222" s="5">
        <v>1</v>
      </c>
      <c r="G222" s="5">
        <v>2.2</v>
      </c>
      <c r="H222" s="5">
        <f>2.8-1.2</f>
        <v>1.5999999999999999</v>
      </c>
      <c r="I222" s="5"/>
      <c r="J222" s="5">
        <f t="shared" si="9"/>
        <v>3.52</v>
      </c>
      <c r="K222" s="5"/>
      <c r="L222" s="18"/>
      <c r="M222" s="18"/>
      <c r="N222" s="6"/>
    </row>
    <row r="223" spans="1:14" s="2" customFormat="1" ht="15" hidden="1" outlineLevel="1">
      <c r="A223" s="4">
        <f>IF(B223="","",COUNTA($B$9:$B223))</f>
      </c>
      <c r="B223" s="5"/>
      <c r="C223" s="5" t="s">
        <v>154</v>
      </c>
      <c r="D223" s="5"/>
      <c r="E223" s="5">
        <v>14</v>
      </c>
      <c r="G223" s="5">
        <v>2</v>
      </c>
      <c r="H223" s="5">
        <f>2.8-1.2</f>
        <v>1.5999999999999999</v>
      </c>
      <c r="I223" s="5"/>
      <c r="J223" s="5">
        <f>PRODUCT(E223:I223)</f>
        <v>44.8</v>
      </c>
      <c r="K223" s="5"/>
      <c r="L223" s="18"/>
      <c r="M223" s="18"/>
      <c r="N223" s="6"/>
    </row>
    <row r="224" spans="1:14" s="2" customFormat="1" ht="15" hidden="1" outlineLevel="1">
      <c r="A224" s="4"/>
      <c r="B224" s="5"/>
      <c r="C224" s="7" t="s">
        <v>167</v>
      </c>
      <c r="D224" s="5"/>
      <c r="E224" s="5">
        <v>1</v>
      </c>
      <c r="G224" s="5">
        <v>2.95</v>
      </c>
      <c r="H224" s="5">
        <v>3.4</v>
      </c>
      <c r="I224" s="5"/>
      <c r="J224" s="5">
        <f>PRODUCT(E224:I224)</f>
        <v>10.030000000000001</v>
      </c>
      <c r="K224" s="5"/>
      <c r="L224" s="18"/>
      <c r="M224" s="18"/>
      <c r="N224" s="6"/>
    </row>
    <row r="225" spans="1:14" s="2" customFormat="1" ht="15" hidden="1" outlineLevel="1">
      <c r="A225" s="4"/>
      <c r="B225" s="5"/>
      <c r="C225" s="5" t="s">
        <v>150</v>
      </c>
      <c r="D225" s="5"/>
      <c r="E225" s="5">
        <v>-1</v>
      </c>
      <c r="G225" s="5">
        <v>1.4</v>
      </c>
      <c r="H225" s="5">
        <v>2.2</v>
      </c>
      <c r="I225" s="5"/>
      <c r="J225" s="5">
        <f>PRODUCT(E225:I225)</f>
        <v>-3.08</v>
      </c>
      <c r="K225" s="5"/>
      <c r="L225" s="18"/>
      <c r="M225" s="18"/>
      <c r="N225" s="6"/>
    </row>
    <row r="226" spans="1:14" s="2" customFormat="1" ht="15" hidden="1" outlineLevel="1">
      <c r="A226" s="4">
        <f>IF(B226="","",COUNTA($B$9:$B226))</f>
      </c>
      <c r="B226" s="5"/>
      <c r="C226" s="7" t="s">
        <v>166</v>
      </c>
      <c r="D226" s="5"/>
      <c r="E226" s="5">
        <v>3</v>
      </c>
      <c r="F226" s="5"/>
      <c r="G226" s="5">
        <v>6.1</v>
      </c>
      <c r="H226" s="5">
        <f>3.4-1.2</f>
        <v>2.2</v>
      </c>
      <c r="I226" s="5"/>
      <c r="J226" s="5">
        <f>PRODUCT(E226:I226)</f>
        <v>40.26</v>
      </c>
      <c r="K226" s="5"/>
      <c r="L226" s="18"/>
      <c r="M226" s="18"/>
      <c r="N226" s="6"/>
    </row>
    <row r="227" spans="1:14" s="2" customFormat="1" ht="15" hidden="1" outlineLevel="1">
      <c r="A227" s="4">
        <f>IF(B227="","",COUNTA($B$9:$B227))</f>
      </c>
      <c r="B227" s="5"/>
      <c r="C227" s="7"/>
      <c r="D227" s="5"/>
      <c r="E227" s="5"/>
      <c r="G227" s="5"/>
      <c r="H227" s="5"/>
      <c r="I227" s="5"/>
      <c r="J227" s="5">
        <f t="shared" si="9"/>
        <v>0</v>
      </c>
      <c r="K227" s="5"/>
      <c r="L227" s="18"/>
      <c r="M227" s="18"/>
      <c r="N227" s="6"/>
    </row>
    <row r="228" spans="1:14" s="2" customFormat="1" ht="15" collapsed="1">
      <c r="A228" s="4">
        <f>IF(B228="","",COUNTA($B$9:$B228))</f>
        <v>21</v>
      </c>
      <c r="B228" s="5" t="s">
        <v>50</v>
      </c>
      <c r="C228" s="7" t="s">
        <v>114</v>
      </c>
      <c r="D228" s="5" t="s">
        <v>19</v>
      </c>
      <c r="E228" s="5"/>
      <c r="F228" s="5"/>
      <c r="G228" s="5"/>
      <c r="H228" s="5"/>
      <c r="I228" s="5"/>
      <c r="J228" s="5"/>
      <c r="K228" s="5">
        <f>SUM(J229:J231)</f>
        <v>300</v>
      </c>
      <c r="L228" s="18">
        <v>70000</v>
      </c>
      <c r="M228" s="18">
        <f>K228*L228</f>
        <v>21000000</v>
      </c>
      <c r="N228" s="6"/>
    </row>
    <row r="229" spans="1:14" s="2" customFormat="1" ht="16.5" customHeight="1" hidden="1" outlineLevel="1">
      <c r="A229" s="4">
        <f>IF(B229="","",COUNTA($B$9:$B229))</f>
      </c>
      <c r="B229" s="5"/>
      <c r="C229" s="7" t="s">
        <v>155</v>
      </c>
      <c r="D229" s="5"/>
      <c r="E229" s="5">
        <v>1</v>
      </c>
      <c r="F229" s="5">
        <f>K90</f>
        <v>300</v>
      </c>
      <c r="G229" s="5"/>
      <c r="H229" s="5"/>
      <c r="I229" s="5"/>
      <c r="J229" s="5">
        <f>ROUND(PRODUCT(E229:I229),3)</f>
        <v>300</v>
      </c>
      <c r="K229" s="5"/>
      <c r="L229" s="18"/>
      <c r="M229" s="18"/>
      <c r="N229" s="6"/>
    </row>
    <row r="230" spans="1:14" s="2" customFormat="1" ht="16.5" customHeight="1" hidden="1" outlineLevel="1">
      <c r="A230" s="4">
        <f>IF(B230="","",COUNTA($B$9:$B230))</f>
      </c>
      <c r="B230" s="5"/>
      <c r="C230" s="5"/>
      <c r="D230" s="5"/>
      <c r="E230" s="5"/>
      <c r="F230" s="5"/>
      <c r="G230" s="5"/>
      <c r="H230" s="5"/>
      <c r="I230" s="5"/>
      <c r="J230" s="5">
        <f>ROUND(PRODUCT(E230:I230),3)</f>
        <v>0</v>
      </c>
      <c r="K230" s="5"/>
      <c r="L230" s="18"/>
      <c r="M230" s="18"/>
      <c r="N230" s="6"/>
    </row>
    <row r="231" spans="1:14" s="2" customFormat="1" ht="15" hidden="1" outlineLevel="1">
      <c r="A231" s="4">
        <f>IF(B231="","",COUNTA($B$9:$B231))</f>
      </c>
      <c r="B231" s="5"/>
      <c r="C231" s="7"/>
      <c r="D231" s="5"/>
      <c r="E231" s="5"/>
      <c r="F231" s="5"/>
      <c r="G231" s="5"/>
      <c r="H231" s="5"/>
      <c r="I231" s="5"/>
      <c r="J231" s="5">
        <f>ROUND(PRODUCT(E231:I231),3)</f>
        <v>0</v>
      </c>
      <c r="K231" s="5"/>
      <c r="L231" s="18"/>
      <c r="M231" s="18"/>
      <c r="N231" s="6"/>
    </row>
    <row r="232" spans="1:14" s="2" customFormat="1" ht="15" collapsed="1">
      <c r="A232" s="4">
        <f>IF(B232="","",COUNTA($B$9:$B232))</f>
        <v>22</v>
      </c>
      <c r="B232" s="5" t="s">
        <v>49</v>
      </c>
      <c r="C232" s="7" t="s">
        <v>115</v>
      </c>
      <c r="D232" s="5" t="s">
        <v>19</v>
      </c>
      <c r="E232" s="5"/>
      <c r="F232" s="5"/>
      <c r="G232" s="5"/>
      <c r="H232" s="5"/>
      <c r="I232" s="5"/>
      <c r="J232" s="5"/>
      <c r="K232" s="5">
        <f>SUM(J233:J237)</f>
        <v>627.9</v>
      </c>
      <c r="L232" s="18">
        <v>70000</v>
      </c>
      <c r="M232" s="18">
        <f>K232*L232</f>
        <v>43953000</v>
      </c>
      <c r="N232" s="6"/>
    </row>
    <row r="233" spans="1:14" s="2" customFormat="1" ht="16.5" customHeight="1" hidden="1" outlineLevel="1">
      <c r="A233" s="4">
        <f>IF(B233="","",COUNTA($B$9:$B233))</f>
      </c>
      <c r="B233" s="5"/>
      <c r="C233" s="7" t="s">
        <v>156</v>
      </c>
      <c r="D233" s="5"/>
      <c r="E233" s="5">
        <v>1</v>
      </c>
      <c r="F233" s="5">
        <f>K199</f>
        <v>627.9</v>
      </c>
      <c r="G233" s="5"/>
      <c r="H233" s="5"/>
      <c r="I233" s="5"/>
      <c r="J233" s="5">
        <f>ROUND(PRODUCT(E233:I233),3)</f>
        <v>627.9</v>
      </c>
      <c r="K233" s="5"/>
      <c r="L233" s="18"/>
      <c r="M233" s="18"/>
      <c r="N233" s="6"/>
    </row>
    <row r="234" spans="1:14" s="2" customFormat="1" ht="16.5" customHeight="1" hidden="1" outlineLevel="1">
      <c r="A234" s="4">
        <f>IF(B234="","",COUNTA($B$9:$B234))</f>
      </c>
      <c r="B234" s="5"/>
      <c r="C234" s="5"/>
      <c r="D234" s="5"/>
      <c r="E234" s="5"/>
      <c r="F234" s="5"/>
      <c r="G234" s="5"/>
      <c r="H234" s="5"/>
      <c r="I234" s="5"/>
      <c r="J234" s="5">
        <f>ROUND(PRODUCT(E234:I234),3)</f>
        <v>0</v>
      </c>
      <c r="K234" s="5"/>
      <c r="L234" s="18"/>
      <c r="M234" s="18"/>
      <c r="N234" s="6"/>
    </row>
    <row r="235" spans="1:14" s="2" customFormat="1" ht="16.5" customHeight="1" hidden="1" outlineLevel="1">
      <c r="A235" s="4">
        <f>IF(B235="","",COUNTA($B$9:$B235))</f>
      </c>
      <c r="B235" s="5"/>
      <c r="C235" s="7"/>
      <c r="D235" s="5"/>
      <c r="E235" s="5"/>
      <c r="F235" s="5"/>
      <c r="G235" s="5"/>
      <c r="H235" s="5"/>
      <c r="I235" s="5"/>
      <c r="J235" s="5">
        <f>ROUND(PRODUCT(E235:I235),3)</f>
        <v>0</v>
      </c>
      <c r="K235" s="5"/>
      <c r="L235" s="18"/>
      <c r="M235" s="18"/>
      <c r="N235" s="6"/>
    </row>
    <row r="236" spans="1:14" s="2" customFormat="1" ht="16.5" customHeight="1" hidden="1" outlineLevel="1">
      <c r="A236" s="4">
        <f>IF(B236="","",COUNTA($B$9:$B236))</f>
      </c>
      <c r="B236" s="5"/>
      <c r="C236" s="5"/>
      <c r="D236" s="5"/>
      <c r="E236" s="5"/>
      <c r="F236" s="5"/>
      <c r="G236" s="5"/>
      <c r="H236" s="5"/>
      <c r="I236" s="5"/>
      <c r="J236" s="5">
        <f>ROUND(PRODUCT(E236:I236),3)</f>
        <v>0</v>
      </c>
      <c r="K236" s="5"/>
      <c r="L236" s="18"/>
      <c r="M236" s="18"/>
      <c r="N236" s="6"/>
    </row>
    <row r="237" spans="1:14" s="2" customFormat="1" ht="15" hidden="1" outlineLevel="1">
      <c r="A237" s="4">
        <f>IF(B237="","",COUNTA($B$9:$B237))</f>
      </c>
      <c r="B237" s="5"/>
      <c r="C237" s="7"/>
      <c r="D237" s="5"/>
      <c r="E237" s="5"/>
      <c r="F237" s="5"/>
      <c r="G237" s="5"/>
      <c r="H237" s="5"/>
      <c r="I237" s="5"/>
      <c r="J237" s="5">
        <f>ROUND(PRODUCT(E237:I237),3)</f>
        <v>0</v>
      </c>
      <c r="K237" s="5"/>
      <c r="L237" s="18"/>
      <c r="M237" s="18"/>
      <c r="N237" s="6"/>
    </row>
    <row r="238" spans="1:14" s="2" customFormat="1" ht="15" collapsed="1">
      <c r="A238" s="4">
        <f>IF(B238="","",COUNTA($B$9:$B238))</f>
        <v>23</v>
      </c>
      <c r="B238" s="5" t="s">
        <v>51</v>
      </c>
      <c r="C238" s="7" t="s">
        <v>116</v>
      </c>
      <c r="D238" s="5" t="s">
        <v>19</v>
      </c>
      <c r="E238" s="5"/>
      <c r="F238" s="5"/>
      <c r="G238" s="5"/>
      <c r="H238" s="5"/>
      <c r="I238" s="5"/>
      <c r="J238" s="5"/>
      <c r="K238" s="5">
        <f>SUM(J239:J241)</f>
        <v>927.9</v>
      </c>
      <c r="L238" s="18">
        <v>120000</v>
      </c>
      <c r="M238" s="18">
        <f>K238*L238</f>
        <v>111348000</v>
      </c>
      <c r="N238" s="6"/>
    </row>
    <row r="239" spans="1:14" s="2" customFormat="1" ht="15" hidden="1" outlineLevel="1">
      <c r="A239" s="4">
        <f>IF(B239="","",COUNTA($B$9:$B239))</f>
      </c>
      <c r="B239" s="9"/>
      <c r="C239" s="11" t="s">
        <v>61</v>
      </c>
      <c r="D239" s="9"/>
      <c r="E239" s="9"/>
      <c r="F239" s="9">
        <f>K228</f>
        <v>300</v>
      </c>
      <c r="G239" s="9"/>
      <c r="H239" s="9"/>
      <c r="I239" s="9"/>
      <c r="J239" s="5">
        <f>PRODUCT(E239:I239)</f>
        <v>300</v>
      </c>
      <c r="K239" s="9"/>
      <c r="L239" s="19"/>
      <c r="M239" s="19"/>
      <c r="N239" s="10"/>
    </row>
    <row r="240" spans="1:14" s="2" customFormat="1" ht="15" hidden="1" outlineLevel="1">
      <c r="A240" s="4">
        <f>IF(B240="","",COUNTA($B$9:$B240))</f>
      </c>
      <c r="B240" s="9"/>
      <c r="C240" s="11" t="s">
        <v>62</v>
      </c>
      <c r="D240" s="9"/>
      <c r="E240" s="9"/>
      <c r="F240" s="9">
        <f>K232</f>
        <v>627.9</v>
      </c>
      <c r="G240" s="9"/>
      <c r="H240" s="9"/>
      <c r="I240" s="9"/>
      <c r="J240" s="5">
        <f>PRODUCT(E240:I240)</f>
        <v>627.9</v>
      </c>
      <c r="K240" s="9"/>
      <c r="L240" s="19"/>
      <c r="M240" s="19"/>
      <c r="N240" s="10"/>
    </row>
    <row r="241" spans="1:14" s="2" customFormat="1" ht="15" hidden="1" outlineLevel="1">
      <c r="A241" s="4">
        <f>IF(B241="","",COUNTA($B$9:$B241))</f>
      </c>
      <c r="B241" s="9"/>
      <c r="C241" s="11"/>
      <c r="D241" s="9"/>
      <c r="E241" s="9"/>
      <c r="F241" s="9"/>
      <c r="G241" s="9"/>
      <c r="H241" s="9"/>
      <c r="I241" s="9"/>
      <c r="J241" s="5">
        <f>PRODUCT(E241:I241)</f>
        <v>0</v>
      </c>
      <c r="K241" s="9"/>
      <c r="L241" s="19"/>
      <c r="M241" s="19"/>
      <c r="N241" s="10"/>
    </row>
    <row r="242" spans="1:14" s="2" customFormat="1" ht="15" hidden="1" outlineLevel="1">
      <c r="A242" s="4">
        <f>IF(B242="","",COUNTA($B$9:$B242))</f>
      </c>
      <c r="B242" s="9"/>
      <c r="C242" s="11"/>
      <c r="D242" s="9"/>
      <c r="E242" s="9"/>
      <c r="F242" s="9"/>
      <c r="G242" s="9"/>
      <c r="H242" s="9"/>
      <c r="I242" s="9"/>
      <c r="J242" s="9"/>
      <c r="K242" s="9"/>
      <c r="L242" s="19"/>
      <c r="M242" s="19"/>
      <c r="N242" s="10"/>
    </row>
    <row r="243" spans="1:14" s="2" customFormat="1" ht="30" collapsed="1">
      <c r="A243" s="4">
        <f>IF(B243="","",COUNTA($B$9:$B243))</f>
        <v>24</v>
      </c>
      <c r="B243" s="9" t="s">
        <v>55</v>
      </c>
      <c r="C243" s="11" t="s">
        <v>56</v>
      </c>
      <c r="D243" s="9" t="s">
        <v>16</v>
      </c>
      <c r="E243" s="9"/>
      <c r="F243" s="9"/>
      <c r="G243" s="9"/>
      <c r="H243" s="9"/>
      <c r="I243" s="9"/>
      <c r="J243" s="9"/>
      <c r="K243" s="9">
        <f>SUM(J244:J245)</f>
        <v>1.104</v>
      </c>
      <c r="L243" s="19">
        <f>120000/(0.08*0.2)</f>
        <v>7500000</v>
      </c>
      <c r="M243" s="19">
        <f>K243*L243</f>
        <v>8280000.000000001</v>
      </c>
      <c r="N243" s="10"/>
    </row>
    <row r="244" spans="1:14" s="2" customFormat="1" ht="15" hidden="1" outlineLevel="1">
      <c r="A244" s="4">
        <f>IF(B244="","",COUNTA($B$9:$B244))</f>
      </c>
      <c r="B244" s="9"/>
      <c r="C244" s="11" t="s">
        <v>157</v>
      </c>
      <c r="D244" s="9"/>
      <c r="E244" s="9">
        <v>1</v>
      </c>
      <c r="F244" s="5">
        <f>3.7+4+6+4*3+6+4+3.7*9</f>
        <v>69</v>
      </c>
      <c r="G244" s="9">
        <v>0.08</v>
      </c>
      <c r="H244" s="9">
        <v>0.2</v>
      </c>
      <c r="I244" s="9"/>
      <c r="J244" s="5">
        <f>PRODUCT(E244:I244)</f>
        <v>1.104</v>
      </c>
      <c r="K244" s="9"/>
      <c r="L244" s="19"/>
      <c r="M244" s="19"/>
      <c r="N244" s="10"/>
    </row>
    <row r="245" spans="1:14" s="2" customFormat="1" ht="15" hidden="1" outlineLevel="1">
      <c r="A245" s="4">
        <f>IF(B245="","",COUNTA($B$9:$B245))</f>
      </c>
      <c r="B245" s="9"/>
      <c r="C245" s="11"/>
      <c r="D245" s="9"/>
      <c r="E245" s="9"/>
      <c r="F245" s="9"/>
      <c r="G245" s="9"/>
      <c r="H245" s="9"/>
      <c r="I245" s="9"/>
      <c r="J245" s="9"/>
      <c r="K245" s="9"/>
      <c r="L245" s="19"/>
      <c r="M245" s="19"/>
      <c r="N245" s="10"/>
    </row>
    <row r="246" spans="1:14" s="2" customFormat="1" ht="15" collapsed="1">
      <c r="A246" s="4">
        <f>IF(B246="","",COUNTA($B$9:$B246))</f>
        <v>25</v>
      </c>
      <c r="B246" s="9" t="s">
        <v>57</v>
      </c>
      <c r="C246" s="11" t="s">
        <v>58</v>
      </c>
      <c r="D246" s="9" t="s">
        <v>17</v>
      </c>
      <c r="E246" s="9"/>
      <c r="F246" s="9"/>
      <c r="G246" s="9"/>
      <c r="H246" s="9"/>
      <c r="I246" s="9"/>
      <c r="J246" s="9"/>
      <c r="K246" s="9">
        <f>SUM(J247:J248)</f>
        <v>0.33120000000000005</v>
      </c>
      <c r="L246" s="19">
        <v>25600000</v>
      </c>
      <c r="M246" s="19">
        <f>K246*L246</f>
        <v>8478720.000000002</v>
      </c>
      <c r="N246" s="10"/>
    </row>
    <row r="247" spans="1:14" s="2" customFormat="1" ht="15" hidden="1" outlineLevel="1">
      <c r="A247" s="4">
        <f>IF(B247="","",COUNTA($B$9:$B247))</f>
      </c>
      <c r="B247" s="9"/>
      <c r="C247" s="11" t="s">
        <v>157</v>
      </c>
      <c r="D247" s="9"/>
      <c r="E247" s="9">
        <v>1</v>
      </c>
      <c r="F247" s="5">
        <f>3.7+4+6+4*3+6+4+3.7*9</f>
        <v>69</v>
      </c>
      <c r="G247" s="9">
        <f>0.08+0.2*2</f>
        <v>0.48000000000000004</v>
      </c>
      <c r="H247" s="9"/>
      <c r="I247" s="9">
        <v>0.01</v>
      </c>
      <c r="J247" s="5">
        <f>PRODUCT(E247:I247)</f>
        <v>0.33120000000000005</v>
      </c>
      <c r="K247" s="9"/>
      <c r="L247" s="19"/>
      <c r="M247" s="19"/>
      <c r="N247" s="10"/>
    </row>
    <row r="248" spans="1:14" s="2" customFormat="1" ht="15" hidden="1" outlineLevel="1">
      <c r="A248" s="4">
        <f>IF(B248="","",COUNTA($B$9:$B248))</f>
      </c>
      <c r="B248" s="9"/>
      <c r="C248" s="11"/>
      <c r="D248" s="9"/>
      <c r="E248" s="9"/>
      <c r="F248" s="9"/>
      <c r="G248" s="9"/>
      <c r="H248" s="9"/>
      <c r="I248" s="9"/>
      <c r="J248" s="9"/>
      <c r="K248" s="9"/>
      <c r="L248" s="19"/>
      <c r="M248" s="19"/>
      <c r="N248" s="10"/>
    </row>
    <row r="249" spans="1:14" s="2" customFormat="1" ht="15" hidden="1" outlineLevel="1">
      <c r="A249" s="4">
        <f>IF(B249="","",COUNTA($B$9:$B249))</f>
      </c>
      <c r="B249" s="9"/>
      <c r="C249" s="11"/>
      <c r="D249" s="9"/>
      <c r="E249" s="9"/>
      <c r="F249" s="9"/>
      <c r="G249" s="9"/>
      <c r="H249" s="9"/>
      <c r="I249" s="9"/>
      <c r="J249" s="9"/>
      <c r="K249" s="9"/>
      <c r="L249" s="19"/>
      <c r="M249" s="19"/>
      <c r="N249" s="10"/>
    </row>
    <row r="250" spans="1:14" s="2" customFormat="1" ht="30" collapsed="1">
      <c r="A250" s="4">
        <f>IF(B250="","",COUNTA($B$9:$B250))</f>
        <v>26</v>
      </c>
      <c r="B250" s="9" t="s">
        <v>18</v>
      </c>
      <c r="C250" s="11" t="s">
        <v>59</v>
      </c>
      <c r="D250" s="9" t="s">
        <v>13</v>
      </c>
      <c r="E250" s="9"/>
      <c r="F250" s="9"/>
      <c r="G250" s="9"/>
      <c r="H250" s="9"/>
      <c r="I250" s="9"/>
      <c r="J250" s="9"/>
      <c r="K250" s="9">
        <f>SUM(J251:J252)</f>
        <v>0.19872000000000004</v>
      </c>
      <c r="L250" s="19">
        <v>26000000</v>
      </c>
      <c r="M250" s="19">
        <f>K250*L250</f>
        <v>5166720.000000001</v>
      </c>
      <c r="N250" s="10"/>
    </row>
    <row r="251" spans="1:14" s="2" customFormat="1" ht="15" hidden="1" outlineLevel="1">
      <c r="A251" s="8"/>
      <c r="B251" s="9"/>
      <c r="C251" s="11"/>
      <c r="D251" s="9"/>
      <c r="E251" s="9">
        <v>1</v>
      </c>
      <c r="F251" s="9">
        <f>J244*180/1000</f>
        <v>0.19872000000000004</v>
      </c>
      <c r="G251" s="9"/>
      <c r="H251" s="9"/>
      <c r="I251" s="9"/>
      <c r="J251" s="5">
        <f>PRODUCT(E251:I251)</f>
        <v>0.19872000000000004</v>
      </c>
      <c r="K251" s="9"/>
      <c r="L251" s="19"/>
      <c r="M251" s="19"/>
      <c r="N251" s="10"/>
    </row>
    <row r="252" spans="1:14" s="2" customFormat="1" ht="15" hidden="1" outlineLevel="1">
      <c r="A252" s="8"/>
      <c r="B252" s="9"/>
      <c r="C252" s="11"/>
      <c r="D252" s="9"/>
      <c r="E252" s="9"/>
      <c r="F252" s="9"/>
      <c r="G252" s="9"/>
      <c r="H252" s="9"/>
      <c r="I252" s="9"/>
      <c r="J252" s="9"/>
      <c r="K252" s="9"/>
      <c r="L252" s="19"/>
      <c r="M252" s="19"/>
      <c r="N252" s="10"/>
    </row>
    <row r="253" spans="1:14" s="2" customFormat="1" ht="28.5" collapsed="1">
      <c r="A253" s="8"/>
      <c r="B253" s="9"/>
      <c r="C253" s="12" t="s">
        <v>162</v>
      </c>
      <c r="D253" s="9"/>
      <c r="E253" s="9"/>
      <c r="F253" s="9"/>
      <c r="G253" s="9"/>
      <c r="H253" s="9"/>
      <c r="I253" s="9"/>
      <c r="J253" s="9"/>
      <c r="K253" s="9">
        <f>J254</f>
        <v>810.74</v>
      </c>
      <c r="L253" s="19">
        <v>600000</v>
      </c>
      <c r="M253" s="29">
        <f>K253*L253</f>
        <v>486444000</v>
      </c>
      <c r="N253" s="10"/>
    </row>
    <row r="254" spans="1:14" s="2" customFormat="1" ht="15">
      <c r="A254" s="8"/>
      <c r="B254" s="9"/>
      <c r="C254" s="12"/>
      <c r="D254" s="5" t="s">
        <v>19</v>
      </c>
      <c r="E254" s="9"/>
      <c r="F254" s="9">
        <f>K154</f>
        <v>810.74</v>
      </c>
      <c r="G254" s="9"/>
      <c r="H254" s="9"/>
      <c r="I254" s="9"/>
      <c r="J254" s="5">
        <f>PRODUCT(E254:I254)</f>
        <v>810.74</v>
      </c>
      <c r="K254" s="9"/>
      <c r="L254" s="19"/>
      <c r="M254" s="19"/>
      <c r="N254" s="10"/>
    </row>
    <row r="255" spans="1:14" s="2" customFormat="1" ht="15">
      <c r="A255" s="8"/>
      <c r="B255" s="9"/>
      <c r="C255" s="12" t="s">
        <v>163</v>
      </c>
      <c r="D255" s="9"/>
      <c r="E255" s="9"/>
      <c r="F255" s="9"/>
      <c r="G255" s="9"/>
      <c r="H255" s="9"/>
      <c r="I255" s="9"/>
      <c r="J255" s="9"/>
      <c r="K255" s="9">
        <f>J256</f>
        <v>5</v>
      </c>
      <c r="L255" s="19">
        <v>18000000</v>
      </c>
      <c r="M255" s="29">
        <f>K255*L255</f>
        <v>90000000</v>
      </c>
      <c r="N255" s="10" t="s">
        <v>168</v>
      </c>
    </row>
    <row r="256" spans="1:14" s="2" customFormat="1" ht="15">
      <c r="A256" s="8"/>
      <c r="B256" s="9"/>
      <c r="C256" s="11"/>
      <c r="D256" s="5" t="s">
        <v>161</v>
      </c>
      <c r="E256" s="9"/>
      <c r="F256" s="9">
        <v>5</v>
      </c>
      <c r="G256" s="9"/>
      <c r="H256" s="9"/>
      <c r="I256" s="9"/>
      <c r="J256" s="5">
        <f>PRODUCT(E256:I256)</f>
        <v>5</v>
      </c>
      <c r="K256" s="9"/>
      <c r="L256" s="19"/>
      <c r="M256" s="19"/>
      <c r="N256" s="10"/>
    </row>
    <row r="257" spans="1:14" s="2" customFormat="1" ht="28.5">
      <c r="A257" s="8"/>
      <c r="B257" s="9"/>
      <c r="C257" s="12" t="s">
        <v>169</v>
      </c>
      <c r="D257" s="9"/>
      <c r="E257" s="9"/>
      <c r="F257" s="9"/>
      <c r="G257" s="9"/>
      <c r="H257" s="9"/>
      <c r="I257" s="9"/>
      <c r="J257" s="9"/>
      <c r="K257" s="9">
        <f>J258</f>
        <v>810.74</v>
      </c>
      <c r="L257" s="19">
        <f>4500000000*1.2*1.1/(845*8)</f>
        <v>878698.2248520711</v>
      </c>
      <c r="M257" s="29">
        <f>K257*L257</f>
        <v>712395798.8165681</v>
      </c>
      <c r="N257" s="10"/>
    </row>
    <row r="258" spans="1:14" s="2" customFormat="1" ht="15">
      <c r="A258" s="8"/>
      <c r="B258" s="9"/>
      <c r="C258" s="11"/>
      <c r="D258" s="5" t="s">
        <v>19</v>
      </c>
      <c r="E258" s="9"/>
      <c r="F258" s="9">
        <f>F254</f>
        <v>810.74</v>
      </c>
      <c r="G258" s="9"/>
      <c r="H258" s="9"/>
      <c r="I258" s="9"/>
      <c r="J258" s="5">
        <f>PRODUCT(E258:I258)</f>
        <v>810.74</v>
      </c>
      <c r="K258" s="9"/>
      <c r="L258" s="19"/>
      <c r="M258" s="19"/>
      <c r="N258" s="10"/>
    </row>
    <row r="259" spans="1:14" s="2" customFormat="1" ht="15.75" thickBot="1">
      <c r="A259" s="8"/>
      <c r="B259" s="9"/>
      <c r="C259" s="11"/>
      <c r="D259" s="9"/>
      <c r="E259" s="9"/>
      <c r="F259" s="9"/>
      <c r="G259" s="9"/>
      <c r="H259" s="9"/>
      <c r="I259" s="9"/>
      <c r="J259" s="9"/>
      <c r="K259" s="9"/>
      <c r="L259" s="19"/>
      <c r="M259" s="19"/>
      <c r="N259" s="10"/>
    </row>
    <row r="260" spans="1:14" s="2" customFormat="1" ht="15.75" thickBot="1">
      <c r="A260" s="21"/>
      <c r="B260" s="22"/>
      <c r="C260" s="25" t="s">
        <v>60</v>
      </c>
      <c r="D260" s="22"/>
      <c r="E260" s="22"/>
      <c r="F260" s="22"/>
      <c r="G260" s="22"/>
      <c r="H260" s="22"/>
      <c r="I260" s="22"/>
      <c r="J260" s="22"/>
      <c r="K260" s="22"/>
      <c r="L260" s="23"/>
      <c r="M260" s="30">
        <f>M8+M131+M253+M255+M257</f>
        <v>4320212240.416568</v>
      </c>
      <c r="N260" s="24"/>
    </row>
    <row r="261" spans="12:13" s="2" customFormat="1" ht="15">
      <c r="L261" s="20"/>
      <c r="M261" s="20"/>
    </row>
    <row r="262" spans="11:13" s="2" customFormat="1" ht="15">
      <c r="K262" s="2" t="s">
        <v>158</v>
      </c>
      <c r="L262" s="20"/>
      <c r="M262" s="20">
        <f>M260*17%</f>
        <v>734436080.8708166</v>
      </c>
    </row>
    <row r="263" spans="11:13" s="2" customFormat="1" ht="15">
      <c r="K263" s="2" t="s">
        <v>159</v>
      </c>
      <c r="L263" s="20"/>
      <c r="M263" s="20">
        <f>M260*0.1</f>
        <v>432021224.0416568</v>
      </c>
    </row>
    <row r="264" spans="11:13" s="2" customFormat="1" ht="15">
      <c r="K264" s="31" t="s">
        <v>160</v>
      </c>
      <c r="L264" s="32"/>
      <c r="M264" s="33">
        <f>M260+M262+M263</f>
        <v>5486669545.329041</v>
      </c>
    </row>
    <row r="265" spans="12:13" s="2" customFormat="1" ht="15">
      <c r="L265" s="20"/>
      <c r="M265" s="20"/>
    </row>
    <row r="266" spans="12:13" s="2" customFormat="1" ht="15">
      <c r="L266" s="20"/>
      <c r="M266" s="20"/>
    </row>
    <row r="267" spans="12:13" s="2" customFormat="1" ht="15">
      <c r="L267" s="20"/>
      <c r="M267" s="20"/>
    </row>
    <row r="268" spans="12:13" s="2" customFormat="1" ht="15">
      <c r="L268" s="20"/>
      <c r="M268" s="20"/>
    </row>
    <row r="269" spans="12:13" s="2" customFormat="1" ht="15">
      <c r="L269" s="20"/>
      <c r="M269" s="20"/>
    </row>
  </sheetData>
  <sheetProtection/>
  <mergeCells count="16">
    <mergeCell ref="C6:C7"/>
    <mergeCell ref="D6:D7"/>
    <mergeCell ref="E6:E7"/>
    <mergeCell ref="F6:H6"/>
    <mergeCell ref="L6:L7"/>
    <mergeCell ref="M6:M7"/>
    <mergeCell ref="I6:I7"/>
    <mergeCell ref="J6:J7"/>
    <mergeCell ref="K6:K7"/>
    <mergeCell ref="N6:N7"/>
    <mergeCell ref="A1:N1"/>
    <mergeCell ref="A2:N2"/>
    <mergeCell ref="A3:N3"/>
    <mergeCell ref="A4:N4"/>
    <mergeCell ref="A6:A7"/>
    <mergeCell ref="B6:B7"/>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0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0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0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0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0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0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0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0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0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0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2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2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3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3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3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3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3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3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5"/>
  <sheetData/>
  <sheetProtection/>
  <printOptions/>
  <pageMargins left="0.7" right="0.7" top="0.75" bottom="0.75" header="0.3" footer="0.3"/>
  <pageSetup orientation="portrait" r:id="rId1"/>
</worksheet>
</file>

<file path=xl/worksheets/sheet137.xml><?xml version="1.0" encoding="utf-8"?>
<worksheet xmlns="http://schemas.openxmlformats.org/spreadsheetml/2006/main" xmlns:r="http://schemas.openxmlformats.org/officeDocument/2006/relationships">
  <dimension ref="A1:E164"/>
  <sheetViews>
    <sheetView tabSelected="1" view="pageBreakPreview" zoomScale="60" zoomScalePageLayoutView="0" workbookViewId="0" topLeftCell="A153">
      <selection activeCell="Q155" sqref="Q155"/>
    </sheetView>
  </sheetViews>
  <sheetFormatPr defaultColWidth="9.140625" defaultRowHeight="15"/>
  <cols>
    <col min="1" max="1" width="4.00390625" style="56" bestFit="1" customWidth="1"/>
    <col min="2" max="2" width="63.00390625" style="50" customWidth="1"/>
    <col min="3" max="3" width="11.140625" style="50" customWidth="1"/>
    <col min="4" max="4" width="14.7109375" style="50" customWidth="1"/>
    <col min="5" max="16384" width="9.140625" style="50" customWidth="1"/>
  </cols>
  <sheetData>
    <row r="1" spans="1:5" ht="20.25">
      <c r="A1" s="103" t="s">
        <v>251</v>
      </c>
      <c r="B1" s="103"/>
      <c r="C1" s="103"/>
      <c r="D1" s="103"/>
      <c r="E1" s="49"/>
    </row>
    <row r="2" spans="1:5" ht="20.25">
      <c r="A2" s="62"/>
      <c r="B2" s="62"/>
      <c r="C2" s="62"/>
      <c r="D2" s="62"/>
      <c r="E2" s="49"/>
    </row>
    <row r="3" spans="1:5" ht="15.75">
      <c r="A3" s="64" t="s">
        <v>0</v>
      </c>
      <c r="B3" s="51" t="s">
        <v>250</v>
      </c>
      <c r="C3" s="51" t="s">
        <v>248</v>
      </c>
      <c r="D3" s="51" t="s">
        <v>249</v>
      </c>
      <c r="E3" s="49"/>
    </row>
    <row r="4" spans="1:5" ht="15.75">
      <c r="A4" s="105" t="s">
        <v>252</v>
      </c>
      <c r="B4" s="105"/>
      <c r="C4" s="105"/>
      <c r="D4" s="105"/>
      <c r="E4" s="49"/>
    </row>
    <row r="5" spans="1:5" ht="15.75">
      <c r="A5" s="113" t="s">
        <v>205</v>
      </c>
      <c r="B5" s="114"/>
      <c r="C5" s="114"/>
      <c r="D5" s="115"/>
      <c r="E5" s="49"/>
    </row>
    <row r="6" spans="1:5" ht="15.75">
      <c r="A6" s="66">
        <v>1</v>
      </c>
      <c r="B6" s="53" t="s">
        <v>171</v>
      </c>
      <c r="C6" s="65" t="s">
        <v>19</v>
      </c>
      <c r="D6" s="52">
        <v>66.08</v>
      </c>
      <c r="E6" s="49"/>
    </row>
    <row r="7" spans="1:5" ht="31.5">
      <c r="A7" s="66">
        <v>2</v>
      </c>
      <c r="B7" s="53" t="s">
        <v>204</v>
      </c>
      <c r="C7" s="65" t="s">
        <v>19</v>
      </c>
      <c r="D7" s="52">
        <v>14.7</v>
      </c>
      <c r="E7" s="49"/>
    </row>
    <row r="8" spans="1:5" ht="31.5">
      <c r="A8" s="66">
        <v>3</v>
      </c>
      <c r="B8" s="53" t="s">
        <v>210</v>
      </c>
      <c r="C8" s="65" t="s">
        <v>19</v>
      </c>
      <c r="D8" s="52">
        <v>764.89</v>
      </c>
      <c r="E8" s="49"/>
    </row>
    <row r="9" spans="1:5" ht="15.75">
      <c r="A9" s="66">
        <v>4</v>
      </c>
      <c r="B9" s="53" t="s">
        <v>211</v>
      </c>
      <c r="C9" s="65" t="s">
        <v>19</v>
      </c>
      <c r="D9" s="52">
        <v>534.28</v>
      </c>
      <c r="E9" s="49"/>
    </row>
    <row r="10" spans="1:5" ht="15.75">
      <c r="A10" s="66">
        <v>5</v>
      </c>
      <c r="B10" s="53" t="s">
        <v>175</v>
      </c>
      <c r="C10" s="65" t="s">
        <v>19</v>
      </c>
      <c r="D10" s="52">
        <v>141.31</v>
      </c>
      <c r="E10" s="49"/>
    </row>
    <row r="11" spans="1:5" ht="31.5">
      <c r="A11" s="66">
        <v>6</v>
      </c>
      <c r="B11" s="53" t="s">
        <v>212</v>
      </c>
      <c r="C11" s="65" t="s">
        <v>19</v>
      </c>
      <c r="D11" s="52">
        <v>551.3</v>
      </c>
      <c r="E11" s="49"/>
    </row>
    <row r="12" spans="1:5" ht="15.75">
      <c r="A12" s="66">
        <v>7</v>
      </c>
      <c r="B12" s="53" t="s">
        <v>170</v>
      </c>
      <c r="C12" s="65" t="s">
        <v>19</v>
      </c>
      <c r="D12" s="52">
        <v>117.69</v>
      </c>
      <c r="E12" s="49"/>
    </row>
    <row r="13" spans="1:5" ht="15.75">
      <c r="A13" s="66">
        <v>8</v>
      </c>
      <c r="B13" s="53" t="s">
        <v>172</v>
      </c>
      <c r="C13" s="65" t="s">
        <v>19</v>
      </c>
      <c r="D13" s="52">
        <v>21.12</v>
      </c>
      <c r="E13" s="49"/>
    </row>
    <row r="14" spans="1:5" ht="15.75">
      <c r="A14" s="66">
        <v>9</v>
      </c>
      <c r="B14" s="67" t="s">
        <v>338</v>
      </c>
      <c r="C14" s="65" t="s">
        <v>190</v>
      </c>
      <c r="D14" s="52">
        <v>4</v>
      </c>
      <c r="E14" s="49"/>
    </row>
    <row r="15" spans="1:5" ht="15.75">
      <c r="A15" s="66">
        <v>10</v>
      </c>
      <c r="B15" s="53" t="s">
        <v>52</v>
      </c>
      <c r="C15" s="65" t="s">
        <v>19</v>
      </c>
      <c r="D15" s="52">
        <v>67.92</v>
      </c>
      <c r="E15" s="49"/>
    </row>
    <row r="16" spans="1:5" ht="15.75">
      <c r="A16" s="66">
        <v>11</v>
      </c>
      <c r="B16" s="53" t="s">
        <v>174</v>
      </c>
      <c r="C16" s="65" t="s">
        <v>19</v>
      </c>
      <c r="D16" s="52">
        <v>54.12</v>
      </c>
      <c r="E16" s="49"/>
    </row>
    <row r="17" spans="1:5" ht="15.75">
      <c r="A17" s="66">
        <v>12</v>
      </c>
      <c r="B17" s="53" t="s">
        <v>173</v>
      </c>
      <c r="C17" s="65" t="s">
        <v>217</v>
      </c>
      <c r="D17" s="52">
        <v>4</v>
      </c>
      <c r="E17" s="49"/>
    </row>
    <row r="18" spans="1:5" ht="15.75">
      <c r="A18" s="66">
        <v>13</v>
      </c>
      <c r="B18" s="53" t="s">
        <v>53</v>
      </c>
      <c r="C18" s="65" t="s">
        <v>19</v>
      </c>
      <c r="D18" s="52">
        <v>21.04</v>
      </c>
      <c r="E18" s="49"/>
    </row>
    <row r="19" spans="1:5" ht="15.75">
      <c r="A19" s="66">
        <v>14</v>
      </c>
      <c r="B19" s="53" t="s">
        <v>54</v>
      </c>
      <c r="C19" s="65" t="s">
        <v>19</v>
      </c>
      <c r="D19" s="52">
        <v>115.96</v>
      </c>
      <c r="E19" s="49"/>
    </row>
    <row r="20" spans="1:5" ht="15.75">
      <c r="A20" s="113" t="s">
        <v>206</v>
      </c>
      <c r="B20" s="114"/>
      <c r="C20" s="114"/>
      <c r="D20" s="115"/>
      <c r="E20" s="49"/>
    </row>
    <row r="21" spans="1:5" ht="31.5">
      <c r="A21" s="34">
        <v>1</v>
      </c>
      <c r="B21" s="53" t="s">
        <v>176</v>
      </c>
      <c r="C21" s="65" t="s">
        <v>177</v>
      </c>
      <c r="D21" s="52">
        <v>107</v>
      </c>
      <c r="E21" s="49"/>
    </row>
    <row r="22" spans="1:5" ht="15.75">
      <c r="A22" s="34">
        <v>2</v>
      </c>
      <c r="B22" s="53" t="s">
        <v>178</v>
      </c>
      <c r="C22" s="65" t="s">
        <v>177</v>
      </c>
      <c r="D22" s="52">
        <v>7</v>
      </c>
      <c r="E22" s="49"/>
    </row>
    <row r="23" spans="1:5" ht="15.75">
      <c r="A23" s="34">
        <v>3</v>
      </c>
      <c r="B23" s="53" t="s">
        <v>179</v>
      </c>
      <c r="C23" s="65" t="s">
        <v>177</v>
      </c>
      <c r="D23" s="52">
        <v>87</v>
      </c>
      <c r="E23" s="49"/>
    </row>
    <row r="24" spans="1:5" ht="15.75">
      <c r="A24" s="34">
        <v>4</v>
      </c>
      <c r="B24" s="53" t="s">
        <v>180</v>
      </c>
      <c r="C24" s="65" t="s">
        <v>146</v>
      </c>
      <c r="D24" s="52">
        <v>38</v>
      </c>
      <c r="E24" s="49"/>
    </row>
    <row r="25" spans="1:5" ht="15.75">
      <c r="A25" s="34">
        <v>5</v>
      </c>
      <c r="B25" s="53" t="s">
        <v>201</v>
      </c>
      <c r="C25" s="65" t="s">
        <v>146</v>
      </c>
      <c r="D25" s="52">
        <v>7</v>
      </c>
      <c r="E25" s="49"/>
    </row>
    <row r="26" spans="1:5" ht="15.75">
      <c r="A26" s="34">
        <v>6</v>
      </c>
      <c r="B26" s="53" t="s">
        <v>214</v>
      </c>
      <c r="C26" s="65" t="s">
        <v>42</v>
      </c>
      <c r="D26" s="52">
        <v>4416</v>
      </c>
      <c r="E26" s="49"/>
    </row>
    <row r="27" spans="1:5" ht="15.75">
      <c r="A27" s="34">
        <v>7</v>
      </c>
      <c r="B27" s="53" t="s">
        <v>213</v>
      </c>
      <c r="C27" s="65" t="s">
        <v>42</v>
      </c>
      <c r="D27" s="52">
        <v>2500</v>
      </c>
      <c r="E27" s="49"/>
    </row>
    <row r="28" spans="1:5" ht="15.75">
      <c r="A28" s="34">
        <v>8</v>
      </c>
      <c r="B28" s="53" t="s">
        <v>215</v>
      </c>
      <c r="C28" s="65" t="s">
        <v>42</v>
      </c>
      <c r="D28" s="52">
        <v>6759</v>
      </c>
      <c r="E28" s="49"/>
    </row>
    <row r="29" spans="1:5" ht="15.75">
      <c r="A29" s="34">
        <v>9</v>
      </c>
      <c r="B29" s="53" t="s">
        <v>216</v>
      </c>
      <c r="C29" s="65" t="s">
        <v>42</v>
      </c>
      <c r="D29" s="52">
        <v>600</v>
      </c>
      <c r="E29" s="49"/>
    </row>
    <row r="30" spans="1:5" ht="15.75">
      <c r="A30" s="34">
        <v>10</v>
      </c>
      <c r="B30" s="53" t="s">
        <v>200</v>
      </c>
      <c r="C30" s="65" t="s">
        <v>146</v>
      </c>
      <c r="D30" s="52">
        <v>48</v>
      </c>
      <c r="E30" s="49"/>
    </row>
    <row r="31" spans="1:5" ht="15.75">
      <c r="A31" s="34">
        <v>11</v>
      </c>
      <c r="B31" s="53" t="s">
        <v>202</v>
      </c>
      <c r="C31" s="65" t="s">
        <v>203</v>
      </c>
      <c r="D31" s="52">
        <v>3</v>
      </c>
      <c r="E31" s="49"/>
    </row>
    <row r="32" spans="1:5" ht="15.75">
      <c r="A32" s="66">
        <v>12</v>
      </c>
      <c r="B32" s="53" t="s">
        <v>181</v>
      </c>
      <c r="C32" s="65" t="s">
        <v>182</v>
      </c>
      <c r="D32" s="52">
        <v>1</v>
      </c>
      <c r="E32" s="49"/>
    </row>
    <row r="33" spans="1:5" ht="15.75">
      <c r="A33" s="113" t="s">
        <v>207</v>
      </c>
      <c r="B33" s="114"/>
      <c r="C33" s="114"/>
      <c r="D33" s="115"/>
      <c r="E33" s="49"/>
    </row>
    <row r="34" spans="1:5" ht="15.75">
      <c r="A34" s="66">
        <v>1</v>
      </c>
      <c r="B34" s="53" t="s">
        <v>186</v>
      </c>
      <c r="C34" s="65" t="s">
        <v>177</v>
      </c>
      <c r="D34" s="52">
        <v>11</v>
      </c>
      <c r="E34" s="49"/>
    </row>
    <row r="35" spans="1:5" ht="15.75">
      <c r="A35" s="66">
        <v>2</v>
      </c>
      <c r="B35" s="53" t="s">
        <v>187</v>
      </c>
      <c r="C35" s="65" t="s">
        <v>177</v>
      </c>
      <c r="D35" s="52">
        <v>11</v>
      </c>
      <c r="E35" s="49"/>
    </row>
    <row r="36" spans="1:5" ht="15.75">
      <c r="A36" s="66">
        <v>3</v>
      </c>
      <c r="B36" s="53" t="s">
        <v>184</v>
      </c>
      <c r="C36" s="65" t="s">
        <v>177</v>
      </c>
      <c r="D36" s="52">
        <v>11</v>
      </c>
      <c r="E36" s="49"/>
    </row>
    <row r="37" spans="1:5" ht="15.75">
      <c r="A37" s="66">
        <v>4</v>
      </c>
      <c r="B37" s="53" t="s">
        <v>208</v>
      </c>
      <c r="C37" s="65" t="s">
        <v>183</v>
      </c>
      <c r="D37" s="52">
        <v>1.38</v>
      </c>
      <c r="E37" s="49"/>
    </row>
    <row r="38" spans="1:5" ht="15.75">
      <c r="A38" s="66">
        <v>5</v>
      </c>
      <c r="B38" s="53" t="s">
        <v>209</v>
      </c>
      <c r="C38" s="65" t="s">
        <v>183</v>
      </c>
      <c r="D38" s="52">
        <v>1.38</v>
      </c>
      <c r="E38" s="49"/>
    </row>
    <row r="39" spans="1:5" ht="15.75">
      <c r="A39" s="66">
        <v>6</v>
      </c>
      <c r="B39" s="53" t="s">
        <v>185</v>
      </c>
      <c r="C39" s="65" t="s">
        <v>146</v>
      </c>
      <c r="D39" s="52">
        <v>6</v>
      </c>
      <c r="E39" s="49"/>
    </row>
    <row r="40" spans="1:5" ht="15.75">
      <c r="A40" s="106" t="s">
        <v>254</v>
      </c>
      <c r="B40" s="107"/>
      <c r="C40" s="107"/>
      <c r="D40" s="107"/>
      <c r="E40" s="54"/>
    </row>
    <row r="41" spans="1:5" s="56" customFormat="1" ht="15.75">
      <c r="A41" s="116" t="s">
        <v>253</v>
      </c>
      <c r="B41" s="117"/>
      <c r="C41" s="117"/>
      <c r="D41" s="118"/>
      <c r="E41" s="55"/>
    </row>
    <row r="42" spans="1:5" ht="15.75">
      <c r="A42" s="68" t="s">
        <v>260</v>
      </c>
      <c r="B42" s="69" t="s">
        <v>261</v>
      </c>
      <c r="C42" s="70"/>
      <c r="D42" s="71"/>
      <c r="E42" s="57"/>
    </row>
    <row r="43" spans="1:5" ht="60">
      <c r="A43" s="72">
        <v>1</v>
      </c>
      <c r="B43" s="73" t="s">
        <v>339</v>
      </c>
      <c r="C43" s="72" t="s">
        <v>217</v>
      </c>
      <c r="D43" s="74">
        <v>1</v>
      </c>
      <c r="E43" s="57"/>
    </row>
    <row r="44" spans="1:5" ht="60">
      <c r="A44" s="72">
        <f>A43+1</f>
        <v>2</v>
      </c>
      <c r="B44" s="73" t="s">
        <v>340</v>
      </c>
      <c r="C44" s="72" t="s">
        <v>217</v>
      </c>
      <c r="D44" s="74">
        <v>1</v>
      </c>
      <c r="E44" s="49"/>
    </row>
    <row r="45" spans="1:5" ht="15.75">
      <c r="A45" s="72">
        <f>A44+1</f>
        <v>3</v>
      </c>
      <c r="B45" s="73" t="s">
        <v>259</v>
      </c>
      <c r="C45" s="72" t="s">
        <v>217</v>
      </c>
      <c r="D45" s="74">
        <v>2</v>
      </c>
      <c r="E45" s="49"/>
    </row>
    <row r="46" spans="1:5" ht="15.75">
      <c r="A46" s="75" t="s">
        <v>193</v>
      </c>
      <c r="B46" s="76" t="s">
        <v>262</v>
      </c>
      <c r="C46" s="72"/>
      <c r="D46" s="74"/>
      <c r="E46" s="49"/>
    </row>
    <row r="47" spans="1:5" ht="60">
      <c r="A47" s="72">
        <v>1</v>
      </c>
      <c r="B47" s="73" t="s">
        <v>341</v>
      </c>
      <c r="C47" s="72" t="s">
        <v>217</v>
      </c>
      <c r="D47" s="74">
        <v>3</v>
      </c>
      <c r="E47" s="49"/>
    </row>
    <row r="48" spans="1:5" ht="15.75">
      <c r="A48" s="72">
        <v>2</v>
      </c>
      <c r="B48" s="77" t="s">
        <v>263</v>
      </c>
      <c r="C48" s="72" t="s">
        <v>217</v>
      </c>
      <c r="D48" s="74">
        <v>6</v>
      </c>
      <c r="E48" s="49"/>
    </row>
    <row r="49" spans="1:5" ht="15.75">
      <c r="A49" s="72">
        <v>3</v>
      </c>
      <c r="B49" s="77" t="s">
        <v>264</v>
      </c>
      <c r="C49" s="72" t="s">
        <v>217</v>
      </c>
      <c r="D49" s="74">
        <v>3</v>
      </c>
      <c r="E49" s="49"/>
    </row>
    <row r="50" spans="1:5" ht="15.75">
      <c r="A50" s="72">
        <v>4</v>
      </c>
      <c r="B50" s="77" t="s">
        <v>265</v>
      </c>
      <c r="C50" s="72" t="s">
        <v>217</v>
      </c>
      <c r="D50" s="74">
        <v>3</v>
      </c>
      <c r="E50" s="49"/>
    </row>
    <row r="51" spans="1:5" ht="15.75">
      <c r="A51" s="72">
        <v>5</v>
      </c>
      <c r="B51" s="73" t="s">
        <v>266</v>
      </c>
      <c r="C51" s="72" t="s">
        <v>217</v>
      </c>
      <c r="D51" s="74">
        <v>6</v>
      </c>
      <c r="E51" s="49"/>
    </row>
    <row r="52" spans="1:5" ht="15.75">
      <c r="A52" s="72">
        <v>6</v>
      </c>
      <c r="B52" s="73" t="s">
        <v>267</v>
      </c>
      <c r="C52" s="72" t="s">
        <v>217</v>
      </c>
      <c r="D52" s="74">
        <v>6</v>
      </c>
      <c r="E52" s="49"/>
    </row>
    <row r="53" spans="1:5" ht="15.75">
      <c r="A53" s="72">
        <v>7</v>
      </c>
      <c r="B53" s="73" t="s">
        <v>268</v>
      </c>
      <c r="C53" s="72" t="s">
        <v>203</v>
      </c>
      <c r="D53" s="74">
        <v>3</v>
      </c>
      <c r="E53" s="49"/>
    </row>
    <row r="54" spans="1:5" ht="15.75">
      <c r="A54" s="72">
        <v>8</v>
      </c>
      <c r="B54" s="73" t="s">
        <v>269</v>
      </c>
      <c r="C54" s="72" t="s">
        <v>203</v>
      </c>
      <c r="D54" s="74">
        <v>3</v>
      </c>
      <c r="E54" s="49"/>
    </row>
    <row r="55" spans="1:5" ht="60">
      <c r="A55" s="72">
        <v>9</v>
      </c>
      <c r="B55" s="73" t="s">
        <v>342</v>
      </c>
      <c r="C55" s="72" t="s">
        <v>217</v>
      </c>
      <c r="D55" s="74">
        <v>1</v>
      </c>
      <c r="E55" s="49"/>
    </row>
    <row r="56" spans="1:5" ht="15.75">
      <c r="A56" s="72">
        <v>10</v>
      </c>
      <c r="B56" s="73" t="s">
        <v>270</v>
      </c>
      <c r="C56" s="72" t="s">
        <v>217</v>
      </c>
      <c r="D56" s="74">
        <v>12</v>
      </c>
      <c r="E56" s="49"/>
    </row>
    <row r="57" spans="1:5" ht="15.75">
      <c r="A57" s="72">
        <v>11</v>
      </c>
      <c r="B57" s="73" t="s">
        <v>271</v>
      </c>
      <c r="C57" s="72" t="s">
        <v>217</v>
      </c>
      <c r="D57" s="74">
        <v>1</v>
      </c>
      <c r="E57" s="49"/>
    </row>
    <row r="58" spans="1:5" ht="15.75">
      <c r="A58" s="72">
        <v>12</v>
      </c>
      <c r="B58" s="73" t="s">
        <v>272</v>
      </c>
      <c r="C58" s="72" t="s">
        <v>19</v>
      </c>
      <c r="D58" s="74">
        <v>220</v>
      </c>
      <c r="E58" s="49"/>
    </row>
    <row r="59" spans="1:5" s="56" customFormat="1" ht="15.75">
      <c r="A59" s="72">
        <v>13</v>
      </c>
      <c r="B59" s="78" t="s">
        <v>224</v>
      </c>
      <c r="C59" s="79" t="s">
        <v>19</v>
      </c>
      <c r="D59" s="80">
        <v>120</v>
      </c>
      <c r="E59" s="58"/>
    </row>
    <row r="60" spans="1:5" ht="15.75">
      <c r="A60" s="72">
        <v>14</v>
      </c>
      <c r="B60" s="78" t="s">
        <v>225</v>
      </c>
      <c r="C60" s="79" t="s">
        <v>19</v>
      </c>
      <c r="D60" s="80">
        <v>25</v>
      </c>
      <c r="E60" s="49"/>
    </row>
    <row r="61" spans="1:5" ht="15.75">
      <c r="A61" s="72">
        <v>15</v>
      </c>
      <c r="B61" s="73" t="s">
        <v>273</v>
      </c>
      <c r="C61" s="72" t="s">
        <v>336</v>
      </c>
      <c r="D61" s="74">
        <v>1</v>
      </c>
      <c r="E61" s="49"/>
    </row>
    <row r="62" spans="1:5" ht="15.75">
      <c r="A62" s="75" t="s">
        <v>274</v>
      </c>
      <c r="B62" s="81" t="s">
        <v>275</v>
      </c>
      <c r="C62" s="82"/>
      <c r="D62" s="83"/>
      <c r="E62" s="49"/>
    </row>
    <row r="63" spans="1:5" ht="45">
      <c r="A63" s="72">
        <v>1</v>
      </c>
      <c r="B63" s="73" t="s">
        <v>343</v>
      </c>
      <c r="C63" s="72" t="s">
        <v>217</v>
      </c>
      <c r="D63" s="74">
        <v>4</v>
      </c>
      <c r="E63" s="49"/>
    </row>
    <row r="64" spans="1:5" ht="45">
      <c r="A64" s="72">
        <v>2</v>
      </c>
      <c r="B64" s="73" t="s">
        <v>344</v>
      </c>
      <c r="C64" s="72" t="s">
        <v>217</v>
      </c>
      <c r="D64" s="74">
        <v>6</v>
      </c>
      <c r="E64" s="49"/>
    </row>
    <row r="65" spans="1:5" ht="45">
      <c r="A65" s="72">
        <v>3</v>
      </c>
      <c r="B65" s="73" t="s">
        <v>345</v>
      </c>
      <c r="C65" s="72" t="s">
        <v>217</v>
      </c>
      <c r="D65" s="74">
        <v>4</v>
      </c>
      <c r="E65" s="49"/>
    </row>
    <row r="66" spans="1:5" ht="45">
      <c r="A66" s="72">
        <v>4</v>
      </c>
      <c r="B66" s="73" t="s">
        <v>346</v>
      </c>
      <c r="C66" s="72" t="s">
        <v>217</v>
      </c>
      <c r="D66" s="74">
        <v>1</v>
      </c>
      <c r="E66" s="49"/>
    </row>
    <row r="67" spans="1:5" ht="15.75">
      <c r="A67" s="72">
        <v>5</v>
      </c>
      <c r="B67" s="73" t="s">
        <v>276</v>
      </c>
      <c r="C67" s="72" t="s">
        <v>217</v>
      </c>
      <c r="D67" s="74">
        <v>16</v>
      </c>
      <c r="E67" s="49"/>
    </row>
    <row r="68" spans="1:5" ht="15.75">
      <c r="A68" s="72">
        <v>6</v>
      </c>
      <c r="B68" s="73" t="s">
        <v>277</v>
      </c>
      <c r="C68" s="72" t="s">
        <v>217</v>
      </c>
      <c r="D68" s="74">
        <v>18</v>
      </c>
      <c r="E68" s="49"/>
    </row>
    <row r="69" spans="1:5" ht="15.75">
      <c r="A69" s="72">
        <v>7</v>
      </c>
      <c r="B69" s="73" t="s">
        <v>278</v>
      </c>
      <c r="C69" s="72" t="s">
        <v>217</v>
      </c>
      <c r="D69" s="74">
        <v>1</v>
      </c>
      <c r="E69" s="49"/>
    </row>
    <row r="70" spans="1:5" ht="15.75">
      <c r="A70" s="75" t="s">
        <v>279</v>
      </c>
      <c r="B70" s="81" t="s">
        <v>280</v>
      </c>
      <c r="C70" s="75"/>
      <c r="D70" s="84"/>
      <c r="E70" s="49"/>
    </row>
    <row r="71" spans="1:5" ht="15.75">
      <c r="A71" s="72">
        <v>1</v>
      </c>
      <c r="B71" s="73" t="s">
        <v>281</v>
      </c>
      <c r="C71" s="72" t="s">
        <v>203</v>
      </c>
      <c r="D71" s="74">
        <v>1</v>
      </c>
      <c r="E71" s="49"/>
    </row>
    <row r="72" spans="1:5" ht="15.75">
      <c r="A72" s="72">
        <v>2</v>
      </c>
      <c r="B72" s="73" t="s">
        <v>282</v>
      </c>
      <c r="C72" s="72" t="s">
        <v>203</v>
      </c>
      <c r="D72" s="74">
        <v>1</v>
      </c>
      <c r="E72" s="49"/>
    </row>
    <row r="73" spans="1:5" ht="15.75">
      <c r="A73" s="72">
        <v>3</v>
      </c>
      <c r="B73" s="73" t="s">
        <v>283</v>
      </c>
      <c r="C73" s="72" t="s">
        <v>203</v>
      </c>
      <c r="D73" s="74">
        <v>1</v>
      </c>
      <c r="E73" s="49"/>
    </row>
    <row r="74" spans="1:5" ht="15.75">
      <c r="A74" s="72">
        <v>4</v>
      </c>
      <c r="B74" s="77" t="s">
        <v>264</v>
      </c>
      <c r="C74" s="72" t="s">
        <v>217</v>
      </c>
      <c r="D74" s="74">
        <v>4</v>
      </c>
      <c r="E74" s="49"/>
    </row>
    <row r="75" spans="1:5" ht="15.75">
      <c r="A75" s="72">
        <v>5</v>
      </c>
      <c r="B75" s="77" t="s">
        <v>265</v>
      </c>
      <c r="C75" s="72" t="s">
        <v>217</v>
      </c>
      <c r="D75" s="74">
        <v>4</v>
      </c>
      <c r="E75" s="49"/>
    </row>
    <row r="76" spans="1:5" ht="15.75">
      <c r="A76" s="72">
        <v>6</v>
      </c>
      <c r="B76" s="73" t="s">
        <v>269</v>
      </c>
      <c r="C76" s="72" t="s">
        <v>203</v>
      </c>
      <c r="D76" s="74">
        <v>4</v>
      </c>
      <c r="E76" s="49"/>
    </row>
    <row r="77" spans="1:5" ht="15.75">
      <c r="A77" s="72">
        <v>7</v>
      </c>
      <c r="B77" s="73" t="s">
        <v>284</v>
      </c>
      <c r="C77" s="72" t="s">
        <v>203</v>
      </c>
      <c r="D77" s="74">
        <v>4</v>
      </c>
      <c r="E77" s="49"/>
    </row>
    <row r="78" spans="1:5" ht="15.75">
      <c r="A78" s="72">
        <v>8</v>
      </c>
      <c r="B78" s="73" t="s">
        <v>285</v>
      </c>
      <c r="C78" s="72" t="s">
        <v>203</v>
      </c>
      <c r="D78" s="74">
        <v>4</v>
      </c>
      <c r="E78" s="49"/>
    </row>
    <row r="79" spans="1:5" ht="15.75">
      <c r="A79" s="72">
        <v>9</v>
      </c>
      <c r="B79" s="73" t="s">
        <v>286</v>
      </c>
      <c r="C79" s="72" t="s">
        <v>217</v>
      </c>
      <c r="D79" s="74">
        <v>3</v>
      </c>
      <c r="E79" s="49"/>
    </row>
    <row r="80" spans="1:5" ht="15.75">
      <c r="A80" s="72">
        <v>10</v>
      </c>
      <c r="B80" s="73" t="s">
        <v>287</v>
      </c>
      <c r="C80" s="72" t="s">
        <v>217</v>
      </c>
      <c r="D80" s="74">
        <v>6</v>
      </c>
      <c r="E80" s="49"/>
    </row>
    <row r="81" spans="1:5" ht="15.75">
      <c r="A81" s="72">
        <v>11</v>
      </c>
      <c r="B81" s="73" t="s">
        <v>288</v>
      </c>
      <c r="C81" s="72" t="s">
        <v>217</v>
      </c>
      <c r="D81" s="74">
        <v>1</v>
      </c>
      <c r="E81" s="49"/>
    </row>
    <row r="82" spans="1:5" ht="15.75">
      <c r="A82" s="72">
        <v>12</v>
      </c>
      <c r="B82" s="73" t="s">
        <v>289</v>
      </c>
      <c r="C82" s="72" t="s">
        <v>203</v>
      </c>
      <c r="D82" s="74">
        <v>15</v>
      </c>
      <c r="E82" s="49"/>
    </row>
    <row r="83" spans="1:5" ht="15.75">
      <c r="A83" s="72">
        <v>13</v>
      </c>
      <c r="B83" s="73" t="s">
        <v>290</v>
      </c>
      <c r="C83" s="72" t="s">
        <v>203</v>
      </c>
      <c r="D83" s="74">
        <v>2</v>
      </c>
      <c r="E83" s="49"/>
    </row>
    <row r="84" spans="1:5" ht="15.75">
      <c r="A84" s="72">
        <v>14</v>
      </c>
      <c r="B84" s="73" t="s">
        <v>291</v>
      </c>
      <c r="C84" s="72" t="s">
        <v>19</v>
      </c>
      <c r="D84" s="74">
        <v>180</v>
      </c>
      <c r="E84" s="49"/>
    </row>
    <row r="85" spans="1:5" ht="15.75">
      <c r="A85" s="72">
        <v>15</v>
      </c>
      <c r="B85" s="73" t="s">
        <v>292</v>
      </c>
      <c r="C85" s="72" t="s">
        <v>19</v>
      </c>
      <c r="D85" s="74">
        <v>100</v>
      </c>
      <c r="E85" s="49"/>
    </row>
    <row r="86" spans="1:5" ht="15.75">
      <c r="A86" s="72">
        <v>16</v>
      </c>
      <c r="B86" s="73" t="s">
        <v>293</v>
      </c>
      <c r="C86" s="72" t="s">
        <v>336</v>
      </c>
      <c r="D86" s="74">
        <v>1</v>
      </c>
      <c r="E86" s="49"/>
    </row>
    <row r="87" spans="1:5" ht="15.75">
      <c r="A87" s="75" t="s">
        <v>294</v>
      </c>
      <c r="B87" s="81" t="s">
        <v>295</v>
      </c>
      <c r="C87" s="72"/>
      <c r="D87" s="74"/>
      <c r="E87" s="49"/>
    </row>
    <row r="88" spans="1:5" ht="15.75">
      <c r="A88" s="75" t="s">
        <v>296</v>
      </c>
      <c r="B88" s="81" t="s">
        <v>297</v>
      </c>
      <c r="C88" s="72"/>
      <c r="D88" s="74"/>
      <c r="E88" s="49"/>
    </row>
    <row r="89" spans="1:5" ht="15.75">
      <c r="A89" s="72">
        <v>1</v>
      </c>
      <c r="B89" s="85" t="s">
        <v>298</v>
      </c>
      <c r="C89" s="72" t="s">
        <v>42</v>
      </c>
      <c r="D89" s="74">
        <v>25</v>
      </c>
      <c r="E89" s="49"/>
    </row>
    <row r="90" spans="1:5" ht="15.75">
      <c r="A90" s="72">
        <v>2</v>
      </c>
      <c r="B90" s="85" t="s">
        <v>299</v>
      </c>
      <c r="C90" s="72" t="s">
        <v>42</v>
      </c>
      <c r="D90" s="74">
        <v>96</v>
      </c>
      <c r="E90" s="49"/>
    </row>
    <row r="91" spans="1:5" ht="15.75">
      <c r="A91" s="72">
        <v>3</v>
      </c>
      <c r="B91" s="85" t="s">
        <v>300</v>
      </c>
      <c r="C91" s="72" t="s">
        <v>42</v>
      </c>
      <c r="D91" s="74">
        <v>34</v>
      </c>
      <c r="E91" s="49"/>
    </row>
    <row r="92" spans="1:5" ht="15.75">
      <c r="A92" s="72">
        <v>4</v>
      </c>
      <c r="B92" s="85" t="s">
        <v>301</v>
      </c>
      <c r="C92" s="72" t="s">
        <v>42</v>
      </c>
      <c r="D92" s="74">
        <v>96</v>
      </c>
      <c r="E92" s="49"/>
    </row>
    <row r="93" spans="1:5" ht="15.75">
      <c r="A93" s="72">
        <v>5</v>
      </c>
      <c r="B93" s="85" t="s">
        <v>302</v>
      </c>
      <c r="C93" s="72" t="s">
        <v>42</v>
      </c>
      <c r="D93" s="74">
        <v>60</v>
      </c>
      <c r="E93" s="49"/>
    </row>
    <row r="94" spans="1:5" ht="15.75">
      <c r="A94" s="72">
        <v>6</v>
      </c>
      <c r="B94" s="85" t="s">
        <v>303</v>
      </c>
      <c r="C94" s="72" t="s">
        <v>42</v>
      </c>
      <c r="D94" s="74">
        <v>15</v>
      </c>
      <c r="E94" s="49"/>
    </row>
    <row r="95" spans="1:5" ht="15.75">
      <c r="A95" s="72">
        <v>7</v>
      </c>
      <c r="B95" s="85" t="s">
        <v>304</v>
      </c>
      <c r="C95" s="72" t="s">
        <v>42</v>
      </c>
      <c r="D95" s="74">
        <v>30</v>
      </c>
      <c r="E95" s="49"/>
    </row>
    <row r="96" spans="1:5" ht="15.75">
      <c r="A96" s="72">
        <v>8</v>
      </c>
      <c r="B96" s="85" t="s">
        <v>305</v>
      </c>
      <c r="C96" s="72" t="s">
        <v>42</v>
      </c>
      <c r="D96" s="74">
        <v>6</v>
      </c>
      <c r="E96" s="49"/>
    </row>
    <row r="97" spans="1:5" ht="15.75">
      <c r="A97" s="72">
        <v>9</v>
      </c>
      <c r="B97" s="85" t="s">
        <v>306</v>
      </c>
      <c r="C97" s="72" t="s">
        <v>42</v>
      </c>
      <c r="D97" s="74">
        <v>48</v>
      </c>
      <c r="E97" s="49"/>
    </row>
    <row r="98" spans="1:5" ht="15.75">
      <c r="A98" s="72">
        <v>10</v>
      </c>
      <c r="B98" s="85" t="s">
        <v>307</v>
      </c>
      <c r="C98" s="72" t="s">
        <v>42</v>
      </c>
      <c r="D98" s="74">
        <f>D89</f>
        <v>25</v>
      </c>
      <c r="E98" s="49"/>
    </row>
    <row r="99" spans="1:5" ht="15.75">
      <c r="A99" s="72">
        <v>11</v>
      </c>
      <c r="B99" s="85" t="s">
        <v>308</v>
      </c>
      <c r="C99" s="72" t="s">
        <v>42</v>
      </c>
      <c r="D99" s="74">
        <f aca="true" t="shared" si="0" ref="D99:D106">D90</f>
        <v>96</v>
      </c>
      <c r="E99" s="49"/>
    </row>
    <row r="100" spans="1:5" ht="15.75">
      <c r="A100" s="72">
        <v>12</v>
      </c>
      <c r="B100" s="85" t="s">
        <v>309</v>
      </c>
      <c r="C100" s="72" t="s">
        <v>42</v>
      </c>
      <c r="D100" s="74">
        <f t="shared" si="0"/>
        <v>34</v>
      </c>
      <c r="E100" s="49"/>
    </row>
    <row r="101" spans="1:5" ht="15.75">
      <c r="A101" s="72">
        <v>13</v>
      </c>
      <c r="B101" s="85" t="s">
        <v>310</v>
      </c>
      <c r="C101" s="72" t="s">
        <v>42</v>
      </c>
      <c r="D101" s="74">
        <f t="shared" si="0"/>
        <v>96</v>
      </c>
      <c r="E101" s="49"/>
    </row>
    <row r="102" spans="1:5" ht="15.75">
      <c r="A102" s="72">
        <v>14</v>
      </c>
      <c r="B102" s="85" t="s">
        <v>311</v>
      </c>
      <c r="C102" s="72" t="s">
        <v>42</v>
      </c>
      <c r="D102" s="74">
        <f t="shared" si="0"/>
        <v>60</v>
      </c>
      <c r="E102" s="49"/>
    </row>
    <row r="103" spans="1:5" ht="15.75">
      <c r="A103" s="72">
        <v>15</v>
      </c>
      <c r="B103" s="85" t="s">
        <v>312</v>
      </c>
      <c r="C103" s="72" t="s">
        <v>42</v>
      </c>
      <c r="D103" s="74">
        <f t="shared" si="0"/>
        <v>15</v>
      </c>
      <c r="E103" s="49"/>
    </row>
    <row r="104" spans="1:5" ht="15.75">
      <c r="A104" s="72">
        <v>16</v>
      </c>
      <c r="B104" s="85" t="s">
        <v>313</v>
      </c>
      <c r="C104" s="72" t="s">
        <v>42</v>
      </c>
      <c r="D104" s="74">
        <f t="shared" si="0"/>
        <v>30</v>
      </c>
      <c r="E104" s="49"/>
    </row>
    <row r="105" spans="1:5" ht="15.75">
      <c r="A105" s="72">
        <v>17</v>
      </c>
      <c r="B105" s="85" t="s">
        <v>314</v>
      </c>
      <c r="C105" s="72" t="s">
        <v>42</v>
      </c>
      <c r="D105" s="74">
        <f t="shared" si="0"/>
        <v>6</v>
      </c>
      <c r="E105" s="49"/>
    </row>
    <row r="106" spans="1:5" ht="15.75">
      <c r="A106" s="72">
        <v>18</v>
      </c>
      <c r="B106" s="85" t="s">
        <v>315</v>
      </c>
      <c r="C106" s="72" t="s">
        <v>42</v>
      </c>
      <c r="D106" s="74">
        <f t="shared" si="0"/>
        <v>48</v>
      </c>
      <c r="E106" s="49"/>
    </row>
    <row r="107" spans="1:5" ht="15.75">
      <c r="A107" s="72">
        <v>19</v>
      </c>
      <c r="B107" s="73" t="s">
        <v>316</v>
      </c>
      <c r="C107" s="72" t="s">
        <v>337</v>
      </c>
      <c r="D107" s="86">
        <v>7</v>
      </c>
      <c r="E107" s="49"/>
    </row>
    <row r="108" spans="1:5" ht="15.75">
      <c r="A108" s="75" t="s">
        <v>317</v>
      </c>
      <c r="B108" s="87" t="s">
        <v>318</v>
      </c>
      <c r="C108" s="88"/>
      <c r="D108" s="89"/>
      <c r="E108" s="49"/>
    </row>
    <row r="109" spans="1:5" ht="15.75">
      <c r="A109" s="72">
        <v>1</v>
      </c>
      <c r="B109" s="77" t="s">
        <v>218</v>
      </c>
      <c r="C109" s="72" t="s">
        <v>42</v>
      </c>
      <c r="D109" s="74">
        <v>120</v>
      </c>
      <c r="E109" s="49"/>
    </row>
    <row r="110" spans="1:5" ht="15.75">
      <c r="A110" s="72">
        <v>2</v>
      </c>
      <c r="B110" s="77" t="s">
        <v>219</v>
      </c>
      <c r="C110" s="72" t="s">
        <v>42</v>
      </c>
      <c r="D110" s="74">
        <v>40</v>
      </c>
      <c r="E110" s="49"/>
    </row>
    <row r="111" spans="1:5" ht="15.75">
      <c r="A111" s="72">
        <v>3</v>
      </c>
      <c r="B111" s="77" t="s">
        <v>319</v>
      </c>
      <c r="C111" s="72" t="s">
        <v>42</v>
      </c>
      <c r="D111" s="74">
        <v>28</v>
      </c>
      <c r="E111" s="49"/>
    </row>
    <row r="112" spans="1:5" ht="15.75">
      <c r="A112" s="72">
        <v>4</v>
      </c>
      <c r="B112" s="77" t="s">
        <v>220</v>
      </c>
      <c r="C112" s="72" t="s">
        <v>42</v>
      </c>
      <c r="D112" s="74">
        <v>60</v>
      </c>
      <c r="E112" s="49"/>
    </row>
    <row r="113" spans="1:5" ht="15.75">
      <c r="A113" s="72">
        <v>5</v>
      </c>
      <c r="B113" s="77" t="s">
        <v>221</v>
      </c>
      <c r="C113" s="72" t="s">
        <v>42</v>
      </c>
      <c r="D113" s="74">
        <f>D109</f>
        <v>120</v>
      </c>
      <c r="E113" s="49"/>
    </row>
    <row r="114" spans="1:5" ht="15.75">
      <c r="A114" s="72">
        <v>6</v>
      </c>
      <c r="B114" s="77" t="s">
        <v>222</v>
      </c>
      <c r="C114" s="72" t="s">
        <v>42</v>
      </c>
      <c r="D114" s="74">
        <f>D110</f>
        <v>40</v>
      </c>
      <c r="E114" s="49"/>
    </row>
    <row r="115" spans="1:5" ht="15.75">
      <c r="A115" s="72">
        <v>7</v>
      </c>
      <c r="B115" s="77" t="s">
        <v>320</v>
      </c>
      <c r="C115" s="72" t="s">
        <v>42</v>
      </c>
      <c r="D115" s="74">
        <f>D111</f>
        <v>28</v>
      </c>
      <c r="E115" s="49"/>
    </row>
    <row r="116" spans="1:5" ht="15.75">
      <c r="A116" s="72">
        <v>8</v>
      </c>
      <c r="B116" s="77" t="s">
        <v>223</v>
      </c>
      <c r="C116" s="72" t="s">
        <v>42</v>
      </c>
      <c r="D116" s="74">
        <f>D112</f>
        <v>60</v>
      </c>
      <c r="E116" s="49"/>
    </row>
    <row r="117" spans="1:5" ht="15.75">
      <c r="A117" s="75" t="s">
        <v>321</v>
      </c>
      <c r="B117" s="76" t="s">
        <v>322</v>
      </c>
      <c r="C117" s="75"/>
      <c r="D117" s="84"/>
      <c r="E117" s="49"/>
    </row>
    <row r="118" spans="1:5" ht="15.75">
      <c r="A118" s="88">
        <v>1</v>
      </c>
      <c r="B118" s="90" t="s">
        <v>323</v>
      </c>
      <c r="C118" s="72" t="s">
        <v>203</v>
      </c>
      <c r="D118" s="89">
        <v>1</v>
      </c>
      <c r="E118" s="49"/>
    </row>
    <row r="119" spans="1:5" ht="15.75">
      <c r="A119" s="88">
        <v>2</v>
      </c>
      <c r="B119" s="90" t="s">
        <v>324</v>
      </c>
      <c r="C119" s="72" t="s">
        <v>203</v>
      </c>
      <c r="D119" s="89">
        <v>1</v>
      </c>
      <c r="E119" s="49"/>
    </row>
    <row r="120" spans="1:5" ht="15.75">
      <c r="A120" s="88">
        <v>3</v>
      </c>
      <c r="B120" s="90" t="s">
        <v>325</v>
      </c>
      <c r="C120" s="72" t="s">
        <v>203</v>
      </c>
      <c r="D120" s="89">
        <v>5</v>
      </c>
      <c r="E120" s="49"/>
    </row>
    <row r="121" spans="1:5" ht="15.75">
      <c r="A121" s="88">
        <v>4</v>
      </c>
      <c r="B121" s="90" t="s">
        <v>326</v>
      </c>
      <c r="C121" s="72" t="s">
        <v>203</v>
      </c>
      <c r="D121" s="89">
        <v>17</v>
      </c>
      <c r="E121" s="49"/>
    </row>
    <row r="122" spans="1:5" ht="15.75">
      <c r="A122" s="75" t="s">
        <v>327</v>
      </c>
      <c r="B122" s="76" t="s">
        <v>328</v>
      </c>
      <c r="C122" s="72"/>
      <c r="D122" s="74"/>
      <c r="E122" s="49"/>
    </row>
    <row r="123" spans="1:5" ht="15.75">
      <c r="A123" s="72">
        <v>1</v>
      </c>
      <c r="B123" s="77" t="s">
        <v>329</v>
      </c>
      <c r="C123" s="72" t="s">
        <v>42</v>
      </c>
      <c r="D123" s="74">
        <v>60</v>
      </c>
      <c r="E123" s="49"/>
    </row>
    <row r="124" spans="1:5" ht="45">
      <c r="A124" s="72">
        <v>2</v>
      </c>
      <c r="B124" s="73" t="s">
        <v>330</v>
      </c>
      <c r="C124" s="72" t="s">
        <v>42</v>
      </c>
      <c r="D124" s="74">
        <v>180</v>
      </c>
      <c r="E124" s="49"/>
    </row>
    <row r="125" spans="1:5" ht="30">
      <c r="A125" s="72">
        <v>3</v>
      </c>
      <c r="B125" s="73" t="s">
        <v>331</v>
      </c>
      <c r="C125" s="72" t="s">
        <v>42</v>
      </c>
      <c r="D125" s="74">
        <v>595</v>
      </c>
      <c r="E125" s="49"/>
    </row>
    <row r="126" spans="1:5" ht="45">
      <c r="A126" s="72">
        <v>4</v>
      </c>
      <c r="B126" s="73" t="s">
        <v>332</v>
      </c>
      <c r="C126" s="72" t="s">
        <v>42</v>
      </c>
      <c r="D126" s="74">
        <v>385</v>
      </c>
      <c r="E126" s="49"/>
    </row>
    <row r="127" spans="1:5" ht="15.75">
      <c r="A127" s="72">
        <v>5</v>
      </c>
      <c r="B127" s="73" t="s">
        <v>333</v>
      </c>
      <c r="C127" s="72" t="s">
        <v>42</v>
      </c>
      <c r="D127" s="74">
        <v>600</v>
      </c>
      <c r="E127" s="49"/>
    </row>
    <row r="128" spans="1:5" ht="15.75">
      <c r="A128" s="72">
        <v>6</v>
      </c>
      <c r="B128" s="73" t="s">
        <v>334</v>
      </c>
      <c r="C128" s="72" t="s">
        <v>42</v>
      </c>
      <c r="D128" s="74">
        <v>60</v>
      </c>
      <c r="E128" s="49"/>
    </row>
    <row r="129" spans="1:5" ht="15.75">
      <c r="A129" s="72">
        <v>7</v>
      </c>
      <c r="B129" s="73" t="s">
        <v>335</v>
      </c>
      <c r="C129" s="72" t="s">
        <v>42</v>
      </c>
      <c r="D129" s="74">
        <v>70</v>
      </c>
      <c r="E129" s="49"/>
    </row>
    <row r="130" spans="1:5" ht="15.75">
      <c r="A130" s="105" t="s">
        <v>255</v>
      </c>
      <c r="B130" s="108"/>
      <c r="C130" s="108"/>
      <c r="D130" s="108"/>
      <c r="E130" s="59"/>
    </row>
    <row r="131" spans="1:5" s="61" customFormat="1" ht="15.75">
      <c r="A131" s="110" t="s">
        <v>257</v>
      </c>
      <c r="B131" s="111"/>
      <c r="C131" s="111"/>
      <c r="D131" s="112"/>
      <c r="E131" s="60"/>
    </row>
    <row r="132" spans="1:5" ht="15.75">
      <c r="A132" s="34">
        <v>1</v>
      </c>
      <c r="B132" s="35" t="s">
        <v>226</v>
      </c>
      <c r="C132" s="36" t="s">
        <v>189</v>
      </c>
      <c r="D132" s="63">
        <v>12</v>
      </c>
      <c r="E132" s="49"/>
    </row>
    <row r="133" spans="1:5" ht="15.75">
      <c r="A133" s="34">
        <v>2</v>
      </c>
      <c r="B133" s="35" t="s">
        <v>227</v>
      </c>
      <c r="C133" s="36" t="s">
        <v>189</v>
      </c>
      <c r="D133" s="63">
        <v>90</v>
      </c>
      <c r="E133" s="49"/>
    </row>
    <row r="134" spans="1:5" ht="15.75">
      <c r="A134" s="34">
        <v>3</v>
      </c>
      <c r="B134" s="35" t="s">
        <v>228</v>
      </c>
      <c r="C134" s="36" t="s">
        <v>189</v>
      </c>
      <c r="D134" s="63">
        <v>6</v>
      </c>
      <c r="E134" s="49"/>
    </row>
    <row r="135" spans="1:5" ht="15.75">
      <c r="A135" s="34">
        <v>4</v>
      </c>
      <c r="B135" s="35" t="s">
        <v>229</v>
      </c>
      <c r="C135" s="36" t="s">
        <v>189</v>
      </c>
      <c r="D135" s="63">
        <v>36</v>
      </c>
      <c r="E135" s="49"/>
    </row>
    <row r="136" spans="1:5" ht="15.75">
      <c r="A136" s="34">
        <v>5</v>
      </c>
      <c r="B136" s="35" t="s">
        <v>230</v>
      </c>
      <c r="C136" s="36" t="s">
        <v>189</v>
      </c>
      <c r="D136" s="63">
        <v>60</v>
      </c>
      <c r="E136" s="49"/>
    </row>
    <row r="137" spans="1:5" ht="15.75">
      <c r="A137" s="34">
        <v>6</v>
      </c>
      <c r="B137" s="35" t="s">
        <v>231</v>
      </c>
      <c r="C137" s="36" t="s">
        <v>189</v>
      </c>
      <c r="D137" s="63">
        <v>72</v>
      </c>
      <c r="E137" s="49"/>
    </row>
    <row r="138" spans="1:5" ht="15.75">
      <c r="A138" s="34">
        <v>7</v>
      </c>
      <c r="B138" s="35" t="s">
        <v>232</v>
      </c>
      <c r="C138" s="36" t="s">
        <v>189</v>
      </c>
      <c r="D138" s="63">
        <f>142+(212*0.8)</f>
        <v>311.6</v>
      </c>
      <c r="E138" s="49"/>
    </row>
    <row r="139" spans="1:5" ht="15.75">
      <c r="A139" s="34">
        <v>8</v>
      </c>
      <c r="B139" s="35" t="s">
        <v>188</v>
      </c>
      <c r="C139" s="36" t="s">
        <v>146</v>
      </c>
      <c r="D139" s="63">
        <v>212</v>
      </c>
      <c r="E139" s="49"/>
    </row>
    <row r="140" spans="1:5" ht="15.75">
      <c r="A140" s="34">
        <v>9</v>
      </c>
      <c r="B140" s="35" t="s">
        <v>233</v>
      </c>
      <c r="C140" s="36" t="s">
        <v>146</v>
      </c>
      <c r="D140" s="63">
        <v>2</v>
      </c>
      <c r="E140" s="49"/>
    </row>
    <row r="141" spans="1:5" ht="15.75">
      <c r="A141" s="34">
        <v>10</v>
      </c>
      <c r="B141" s="35" t="s">
        <v>234</v>
      </c>
      <c r="C141" s="36" t="s">
        <v>146</v>
      </c>
      <c r="D141" s="63">
        <v>2</v>
      </c>
      <c r="E141" s="49"/>
    </row>
    <row r="142" spans="1:5" ht="15.75">
      <c r="A142" s="34">
        <v>11</v>
      </c>
      <c r="B142" s="38" t="s">
        <v>235</v>
      </c>
      <c r="C142" s="39" t="s">
        <v>146</v>
      </c>
      <c r="D142" s="63">
        <v>4</v>
      </c>
      <c r="E142" s="49"/>
    </row>
    <row r="143" spans="1:5" ht="15.75">
      <c r="A143" s="34">
        <v>12</v>
      </c>
      <c r="B143" s="38" t="s">
        <v>236</v>
      </c>
      <c r="C143" s="39" t="s">
        <v>146</v>
      </c>
      <c r="D143" s="63">
        <v>2</v>
      </c>
      <c r="E143" s="49"/>
    </row>
    <row r="144" spans="1:5" ht="15.75">
      <c r="A144" s="34">
        <v>13</v>
      </c>
      <c r="B144" s="38" t="s">
        <v>237</v>
      </c>
      <c r="C144" s="39" t="s">
        <v>190</v>
      </c>
      <c r="D144" s="63">
        <v>2</v>
      </c>
      <c r="E144" s="49"/>
    </row>
    <row r="145" spans="1:5" ht="15.75">
      <c r="A145" s="34">
        <v>14</v>
      </c>
      <c r="B145" s="38" t="s">
        <v>238</v>
      </c>
      <c r="C145" s="39" t="s">
        <v>190</v>
      </c>
      <c r="D145" s="63">
        <v>2</v>
      </c>
      <c r="E145" s="49"/>
    </row>
    <row r="146" spans="1:5" ht="15.75">
      <c r="A146" s="34">
        <v>15</v>
      </c>
      <c r="B146" s="37" t="s">
        <v>239</v>
      </c>
      <c r="C146" s="39" t="s">
        <v>146</v>
      </c>
      <c r="D146" s="63">
        <f>D139/2</f>
        <v>106</v>
      </c>
      <c r="E146" s="49"/>
    </row>
    <row r="147" spans="1:5" ht="15.75">
      <c r="A147" s="34">
        <v>16</v>
      </c>
      <c r="B147" s="38" t="s">
        <v>240</v>
      </c>
      <c r="C147" s="39" t="s">
        <v>146</v>
      </c>
      <c r="D147" s="63">
        <f>D139</f>
        <v>212</v>
      </c>
      <c r="E147" s="49"/>
    </row>
    <row r="148" spans="1:5" ht="15.75">
      <c r="A148" s="34">
        <v>17</v>
      </c>
      <c r="B148" s="38" t="s">
        <v>241</v>
      </c>
      <c r="C148" s="39" t="s">
        <v>191</v>
      </c>
      <c r="D148" s="63">
        <v>4</v>
      </c>
      <c r="E148" s="49"/>
    </row>
    <row r="149" spans="1:5" ht="15.75">
      <c r="A149" s="34">
        <v>18</v>
      </c>
      <c r="B149" s="38" t="s">
        <v>242</v>
      </c>
      <c r="C149" s="39" t="s">
        <v>146</v>
      </c>
      <c r="D149" s="63">
        <v>4</v>
      </c>
      <c r="E149" s="49"/>
    </row>
    <row r="150" spans="1:5" ht="15.75">
      <c r="A150" s="42" t="s">
        <v>193</v>
      </c>
      <c r="B150" s="109" t="s">
        <v>192</v>
      </c>
      <c r="C150" s="109"/>
      <c r="D150" s="109"/>
      <c r="E150" s="48"/>
    </row>
    <row r="151" spans="1:5" ht="15.75">
      <c r="A151" s="34">
        <v>1</v>
      </c>
      <c r="B151" s="38" t="s">
        <v>194</v>
      </c>
      <c r="C151" s="39" t="s">
        <v>146</v>
      </c>
      <c r="D151" s="63">
        <v>56</v>
      </c>
      <c r="E151" s="49"/>
    </row>
    <row r="152" spans="1:5" ht="15.75">
      <c r="A152" s="34">
        <v>2</v>
      </c>
      <c r="B152" s="38" t="s">
        <v>195</v>
      </c>
      <c r="C152" s="39" t="s">
        <v>146</v>
      </c>
      <c r="D152" s="63">
        <v>16</v>
      </c>
      <c r="E152" s="49"/>
    </row>
    <row r="153" spans="1:5" ht="15.75">
      <c r="A153" s="34">
        <v>3</v>
      </c>
      <c r="B153" s="38" t="s">
        <v>196</v>
      </c>
      <c r="C153" s="39" t="s">
        <v>146</v>
      </c>
      <c r="D153" s="63">
        <v>6</v>
      </c>
      <c r="E153" s="49"/>
    </row>
    <row r="154" spans="1:5" ht="15.75">
      <c r="A154" s="34">
        <v>4</v>
      </c>
      <c r="B154" s="38" t="s">
        <v>197</v>
      </c>
      <c r="C154" s="39" t="s">
        <v>146</v>
      </c>
      <c r="D154" s="63">
        <v>6</v>
      </c>
      <c r="E154" s="49"/>
    </row>
    <row r="155" spans="1:5" ht="15.75">
      <c r="A155" s="34">
        <v>5</v>
      </c>
      <c r="B155" s="40" t="s">
        <v>198</v>
      </c>
      <c r="C155" s="39" t="s">
        <v>146</v>
      </c>
      <c r="D155" s="63">
        <v>6</v>
      </c>
      <c r="E155" s="49"/>
    </row>
    <row r="156" spans="1:5" ht="15.75">
      <c r="A156" s="34">
        <v>6</v>
      </c>
      <c r="B156" s="40" t="s">
        <v>199</v>
      </c>
      <c r="C156" s="39" t="s">
        <v>146</v>
      </c>
      <c r="D156" s="63">
        <v>1</v>
      </c>
      <c r="E156" s="49"/>
    </row>
    <row r="157" spans="1:5" ht="31.5">
      <c r="A157" s="34">
        <v>7</v>
      </c>
      <c r="B157" s="41" t="s">
        <v>243</v>
      </c>
      <c r="C157" s="34" t="s">
        <v>42</v>
      </c>
      <c r="D157" s="63">
        <f>(200*2)+(200*2)+(D151+D152)*2</f>
        <v>944</v>
      </c>
      <c r="E157" s="49"/>
    </row>
    <row r="158" spans="1:5" ht="31.5">
      <c r="A158" s="34">
        <v>8</v>
      </c>
      <c r="B158" s="41" t="s">
        <v>244</v>
      </c>
      <c r="C158" s="34" t="s">
        <v>42</v>
      </c>
      <c r="D158" s="63">
        <f>(200+100)*2</f>
        <v>600</v>
      </c>
      <c r="E158" s="49"/>
    </row>
    <row r="159" spans="1:5" ht="15.75">
      <c r="A159" s="119" t="s">
        <v>256</v>
      </c>
      <c r="B159" s="120"/>
      <c r="C159" s="120"/>
      <c r="D159" s="121"/>
      <c r="E159" s="47"/>
    </row>
    <row r="160" spans="1:5" ht="15.75">
      <c r="A160" s="34">
        <v>1</v>
      </c>
      <c r="B160" s="41" t="s">
        <v>245</v>
      </c>
      <c r="C160" s="39" t="s">
        <v>146</v>
      </c>
      <c r="D160" s="63">
        <v>7</v>
      </c>
      <c r="E160" s="49"/>
    </row>
    <row r="161" spans="1:5" ht="15.75">
      <c r="A161" s="34">
        <v>2</v>
      </c>
      <c r="B161" s="41" t="s">
        <v>246</v>
      </c>
      <c r="C161" s="39" t="s">
        <v>146</v>
      </c>
      <c r="D161" s="63">
        <v>5</v>
      </c>
      <c r="E161" s="49"/>
    </row>
    <row r="162" spans="1:5" ht="31.5">
      <c r="A162" s="34">
        <v>3</v>
      </c>
      <c r="B162" s="41" t="s">
        <v>247</v>
      </c>
      <c r="C162" s="34" t="s">
        <v>42</v>
      </c>
      <c r="D162" s="63">
        <v>400</v>
      </c>
      <c r="E162" s="49"/>
    </row>
    <row r="163" spans="1:5" ht="15.75">
      <c r="A163" s="46"/>
      <c r="B163" s="43"/>
      <c r="C163" s="43"/>
      <c r="D163" s="45"/>
      <c r="E163" s="44"/>
    </row>
    <row r="164" spans="3:4" ht="15.75">
      <c r="C164" s="104" t="s">
        <v>258</v>
      </c>
      <c r="D164" s="104"/>
    </row>
  </sheetData>
  <sheetProtection/>
  <mergeCells count="12">
    <mergeCell ref="A41:D41"/>
    <mergeCell ref="A159:D159"/>
    <mergeCell ref="A1:D1"/>
    <mergeCell ref="C164:D164"/>
    <mergeCell ref="A4:D4"/>
    <mergeCell ref="A40:D40"/>
    <mergeCell ref="A130:D130"/>
    <mergeCell ref="B150:D150"/>
    <mergeCell ref="A131:D131"/>
    <mergeCell ref="A5:D5"/>
    <mergeCell ref="A20:D20"/>
    <mergeCell ref="A33:D33"/>
  </mergeCells>
  <printOptions/>
  <pageMargins left="0.7" right="0.5" top="0.75" bottom="0.5" header="0.3" footer="0.3"/>
  <pageSetup orientation="portrait" r:id="rId1"/>
</worksheet>
</file>

<file path=xl/worksheets/sheet13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3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4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41.xml><?xml version="1.0" encoding="utf-8"?>
<worksheet xmlns="http://schemas.openxmlformats.org/spreadsheetml/2006/main" xmlns:r="http://schemas.openxmlformats.org/officeDocument/2006/relationships">
  <dimension ref="A1:A1"/>
  <sheetViews>
    <sheetView zoomScalePageLayoutView="0" workbookViewId="0" topLeftCell="A1">
      <selection activeCell="D16" sqref="D16"/>
    </sheetView>
  </sheetViews>
  <sheetFormatPr defaultColWidth="9.140625" defaultRowHeight="15"/>
  <sheetData>
    <row r="1" ht="15">
      <c r="A1" t="s">
        <v>15</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8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8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8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8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8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8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8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8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8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8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9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9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9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9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9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9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9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9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9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9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84918</dc:creator>
  <cp:keywords/>
  <dc:description/>
  <cp:lastModifiedBy>PC</cp:lastModifiedBy>
  <cp:lastPrinted>2024-02-27T07:21:57Z</cp:lastPrinted>
  <dcterms:created xsi:type="dcterms:W3CDTF">2023-03-28T08:14:50Z</dcterms:created>
  <dcterms:modified xsi:type="dcterms:W3CDTF">2024-02-27T08:02:05Z</dcterms:modified>
  <cp:category/>
  <cp:version/>
  <cp:contentType/>
  <cp:contentStatus/>
</cp:coreProperties>
</file>